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ы\Экономисты\Иванюга\3.МПРО Утвержденные изменения\Изм.№56 от 12.08.2022 № 587 в МП УО дума от 29.06.2022 №326\"/>
    </mc:Choice>
  </mc:AlternateContent>
  <xr:revisionPtr revIDLastSave="0" documentId="13_ncr:1_{DED0FD49-74D2-4A4D-9872-E73D4675BD3F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Свод" sheetId="7" r:id="rId1"/>
    <sheet name="ДОУ Подп 1" sheetId="1" r:id="rId2"/>
    <sheet name="СОШ Подп 2" sheetId="2" r:id="rId3"/>
    <sheet name="ДОП Подп 3" sheetId="3" r:id="rId4"/>
    <sheet name="Оздор Подп 4" sheetId="4" r:id="rId5"/>
    <sheet name="Ком Подп 5" sheetId="5" state="hidden" r:id="rId6"/>
    <sheet name="Ресур Подп 6" sheetId="6" r:id="rId7"/>
    <sheet name="образ Подп 7" sheetId="9" r:id="rId8"/>
    <sheet name="Лист1" sheetId="10" state="hidden" r:id="rId9"/>
  </sheets>
  <definedNames>
    <definedName name="_xlnm.Print_Titles" localSheetId="3">'ДОП Подп 3'!$13:$15</definedName>
    <definedName name="_xlnm.Print_Titles" localSheetId="1">'ДОУ Подп 1'!$13:$15</definedName>
    <definedName name="_xlnm.Print_Titles" localSheetId="5">'Ком Подп 5'!$13:$15</definedName>
    <definedName name="_xlnm.Print_Titles" localSheetId="4">'Оздор Подп 4'!$13:$15</definedName>
    <definedName name="_xlnm.Print_Titles" localSheetId="6">'Ресур Подп 6'!$13:$15</definedName>
    <definedName name="_xlnm.Print_Titles" localSheetId="0">Свод!$12:$14</definedName>
    <definedName name="_xlnm.Print_Titles" localSheetId="2">'СОШ Подп 2'!$13:$15</definedName>
    <definedName name="_xlnm.Print_Area" localSheetId="3">'ДОП Подп 3'!$A$1:$M$103</definedName>
    <definedName name="_xlnm.Print_Area" localSheetId="1">'ДОУ Подп 1'!$A$1:$M$128</definedName>
    <definedName name="_xlnm.Print_Area" localSheetId="5">'Ком Подп 5'!$A$1:$M$67</definedName>
    <definedName name="_xlnm.Print_Area" localSheetId="8">Лист1!$A$1:$H$95</definedName>
    <definedName name="_xlnm.Print_Area" localSheetId="7">'образ Подп 7'!$A$1:$M$58</definedName>
    <definedName name="_xlnm.Print_Area" localSheetId="4">'Оздор Подп 4'!$A$1:$M$92</definedName>
    <definedName name="_xlnm.Print_Area" localSheetId="6">'Ресур Подп 6'!$A$1:$M$48</definedName>
    <definedName name="_xlnm.Print_Area" localSheetId="0">Свод!$A$1:$K$66</definedName>
    <definedName name="_xlnm.Print_Area" localSheetId="2">'СОШ Подп 2'!$A$1:$M$209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2" l="1"/>
  <c r="K28" i="1"/>
  <c r="K108" i="1"/>
  <c r="J28" i="1" l="1"/>
  <c r="J33" i="1"/>
  <c r="J108" i="1"/>
  <c r="I21" i="2" l="1"/>
  <c r="I20" i="2"/>
  <c r="I19" i="2"/>
  <c r="I18" i="2"/>
  <c r="H21" i="2"/>
  <c r="H20" i="2"/>
  <c r="H19" i="2"/>
  <c r="H18" i="2"/>
  <c r="G21" i="2"/>
  <c r="G20" i="2"/>
  <c r="G19" i="2"/>
  <c r="G18" i="2"/>
  <c r="L18" i="2"/>
  <c r="K19" i="2"/>
  <c r="L19" i="2"/>
  <c r="K20" i="2"/>
  <c r="L20" i="2"/>
  <c r="K21" i="2"/>
  <c r="L21" i="2"/>
  <c r="J20" i="2"/>
  <c r="J19" i="2"/>
  <c r="J28" i="2"/>
  <c r="J33" i="2" l="1"/>
  <c r="J24" i="6" l="1"/>
  <c r="J29" i="6"/>
  <c r="J39" i="6"/>
  <c r="G95" i="10" l="1"/>
  <c r="G94" i="10"/>
  <c r="G93" i="10"/>
  <c r="G92" i="10"/>
  <c r="G91" i="10"/>
  <c r="G90" i="10"/>
  <c r="F95" i="10"/>
  <c r="F92" i="10"/>
  <c r="F91" i="10"/>
  <c r="F90" i="10"/>
  <c r="E95" i="10"/>
  <c r="E94" i="10"/>
  <c r="E93" i="10"/>
  <c r="E92" i="10"/>
  <c r="E91" i="10"/>
  <c r="E90" i="10"/>
  <c r="D95" i="10"/>
  <c r="D94" i="10"/>
  <c r="D93" i="10"/>
  <c r="D92" i="10"/>
  <c r="D91" i="10"/>
  <c r="D90" i="10"/>
  <c r="G83" i="10"/>
  <c r="G82" i="10"/>
  <c r="G81" i="10"/>
  <c r="G80" i="10"/>
  <c r="G79" i="10"/>
  <c r="G78" i="10"/>
  <c r="F83" i="10"/>
  <c r="F82" i="10"/>
  <c r="F80" i="10"/>
  <c r="F79" i="10"/>
  <c r="F78" i="10"/>
  <c r="E83" i="10"/>
  <c r="E82" i="10"/>
  <c r="E81" i="10"/>
  <c r="E80" i="10"/>
  <c r="E79" i="10"/>
  <c r="E78" i="10"/>
  <c r="D83" i="10"/>
  <c r="D82" i="10"/>
  <c r="D81" i="10"/>
  <c r="D80" i="10"/>
  <c r="D79" i="10"/>
  <c r="D78" i="10"/>
  <c r="G71" i="10"/>
  <c r="G70" i="10"/>
  <c r="G69" i="10"/>
  <c r="G68" i="10"/>
  <c r="G67" i="10"/>
  <c r="G66" i="10"/>
  <c r="F71" i="10"/>
  <c r="F70" i="10"/>
  <c r="F69" i="10"/>
  <c r="F68" i="10"/>
  <c r="F67" i="10"/>
  <c r="F66" i="10"/>
  <c r="E71" i="10"/>
  <c r="E70" i="10"/>
  <c r="E69" i="10"/>
  <c r="E68" i="10"/>
  <c r="E67" i="10"/>
  <c r="E66" i="10"/>
  <c r="D71" i="10"/>
  <c r="D70" i="10"/>
  <c r="D69" i="10"/>
  <c r="D68" i="10"/>
  <c r="D67" i="10"/>
  <c r="D66" i="10"/>
  <c r="G59" i="10"/>
  <c r="G58" i="10"/>
  <c r="G57" i="10"/>
  <c r="G56" i="10"/>
  <c r="G55" i="10"/>
  <c r="G54" i="10"/>
  <c r="F59" i="10"/>
  <c r="F58" i="10"/>
  <c r="F56" i="10"/>
  <c r="F55" i="10"/>
  <c r="F54" i="10"/>
  <c r="E59" i="10"/>
  <c r="E58" i="10"/>
  <c r="E57" i="10"/>
  <c r="E56" i="10"/>
  <c r="E55" i="10"/>
  <c r="E54" i="10"/>
  <c r="D59" i="10"/>
  <c r="D58" i="10"/>
  <c r="D56" i="10"/>
  <c r="D55" i="10"/>
  <c r="D54" i="10"/>
  <c r="G47" i="10"/>
  <c r="G46" i="10"/>
  <c r="G45" i="10"/>
  <c r="G44" i="10"/>
  <c r="G43" i="10"/>
  <c r="G42" i="10"/>
  <c r="F47" i="10"/>
  <c r="F46" i="10"/>
  <c r="F44" i="10"/>
  <c r="F43" i="10"/>
  <c r="F42" i="10"/>
  <c r="E47" i="10"/>
  <c r="E46" i="10"/>
  <c r="E45" i="10"/>
  <c r="E44" i="10"/>
  <c r="E43" i="10"/>
  <c r="E42" i="10"/>
  <c r="D47" i="10"/>
  <c r="D46" i="10"/>
  <c r="D45" i="10"/>
  <c r="D44" i="10"/>
  <c r="D43" i="10"/>
  <c r="D42" i="10"/>
  <c r="G23" i="10"/>
  <c r="G22" i="10"/>
  <c r="G20" i="10"/>
  <c r="G19" i="10"/>
  <c r="F23" i="10"/>
  <c r="F20" i="10"/>
  <c r="F19" i="10"/>
  <c r="E23" i="10"/>
  <c r="E22" i="10"/>
  <c r="E21" i="10"/>
  <c r="E20" i="10"/>
  <c r="E19" i="10"/>
  <c r="D23" i="10"/>
  <c r="D22" i="10"/>
  <c r="D20" i="10"/>
  <c r="D19" i="10"/>
  <c r="G18" i="10"/>
  <c r="F18" i="10"/>
  <c r="E18" i="10"/>
  <c r="D18" i="10"/>
  <c r="G3" i="6"/>
  <c r="G3" i="2"/>
  <c r="G3" i="1"/>
  <c r="F56" i="2"/>
  <c r="F55" i="2"/>
  <c r="F54" i="2"/>
  <c r="F53" i="2"/>
  <c r="L52" i="2"/>
  <c r="K52" i="2"/>
  <c r="J52" i="2"/>
  <c r="I52" i="2"/>
  <c r="H52" i="2"/>
  <c r="G52" i="2"/>
  <c r="F52" i="2" l="1"/>
  <c r="J26" i="2"/>
  <c r="J21" i="2" s="1"/>
  <c r="J26" i="1"/>
  <c r="H28" i="1"/>
  <c r="J38" i="1"/>
  <c r="L28" i="2"/>
  <c r="K173" i="2"/>
  <c r="L199" i="2"/>
  <c r="L198" i="2"/>
  <c r="J20" i="3"/>
  <c r="J21" i="3"/>
  <c r="J19" i="3"/>
  <c r="J18" i="3"/>
  <c r="L27" i="3"/>
  <c r="K27" i="3"/>
  <c r="J27" i="3"/>
  <c r="I27" i="3"/>
  <c r="H27" i="3"/>
  <c r="G27" i="3"/>
  <c r="F31" i="3"/>
  <c r="F30" i="3"/>
  <c r="F29" i="3"/>
  <c r="F28" i="3"/>
  <c r="J79" i="3"/>
  <c r="F27" i="3" l="1"/>
  <c r="H28" i="2"/>
  <c r="L154" i="2" l="1"/>
  <c r="K154" i="2"/>
  <c r="J154" i="2"/>
  <c r="J145" i="2"/>
  <c r="K145" i="2"/>
  <c r="L145" i="2"/>
  <c r="I29" i="6"/>
  <c r="I24" i="6"/>
  <c r="F24" i="6" s="1"/>
  <c r="L33" i="1"/>
  <c r="I28" i="2"/>
  <c r="I31" i="2"/>
  <c r="F42" i="6"/>
  <c r="F41" i="6"/>
  <c r="F40" i="6"/>
  <c r="L39" i="6"/>
  <c r="K39" i="6"/>
  <c r="K38" i="6" s="1"/>
  <c r="J38" i="6"/>
  <c r="L38" i="6"/>
  <c r="I38" i="6"/>
  <c r="H38" i="6"/>
  <c r="G38" i="6"/>
  <c r="F37" i="6"/>
  <c r="F36" i="6"/>
  <c r="F35" i="6"/>
  <c r="F34" i="6"/>
  <c r="L33" i="6"/>
  <c r="K33" i="6"/>
  <c r="J33" i="6"/>
  <c r="I33" i="6"/>
  <c r="H33" i="6"/>
  <c r="G33" i="6"/>
  <c r="F32" i="6"/>
  <c r="F31" i="6"/>
  <c r="F30" i="6"/>
  <c r="L29" i="6"/>
  <c r="K29" i="6"/>
  <c r="K28" i="6" s="1"/>
  <c r="J28" i="6"/>
  <c r="H29" i="6"/>
  <c r="H28" i="6" s="1"/>
  <c r="L28" i="6"/>
  <c r="I28" i="6"/>
  <c r="G28" i="6"/>
  <c r="F27" i="6"/>
  <c r="F26" i="6"/>
  <c r="F25" i="6"/>
  <c r="L24" i="6"/>
  <c r="L23" i="6" s="1"/>
  <c r="K24" i="6"/>
  <c r="K19" i="6" s="1"/>
  <c r="J23" i="6"/>
  <c r="H24" i="6"/>
  <c r="K23" i="6"/>
  <c r="I23" i="6"/>
  <c r="H23" i="6"/>
  <c r="G23" i="6"/>
  <c r="L22" i="6"/>
  <c r="L47" i="6" s="1"/>
  <c r="K22" i="6"/>
  <c r="K47" i="6" s="1"/>
  <c r="J22" i="6"/>
  <c r="J47" i="6" s="1"/>
  <c r="I22" i="6"/>
  <c r="I47" i="6" s="1"/>
  <c r="H22" i="6"/>
  <c r="H47" i="6" s="1"/>
  <c r="G22" i="6"/>
  <c r="G47" i="6" s="1"/>
  <c r="L21" i="6"/>
  <c r="L46" i="6" s="1"/>
  <c r="K21" i="6"/>
  <c r="K46" i="6" s="1"/>
  <c r="J21" i="6"/>
  <c r="J46" i="6" s="1"/>
  <c r="I21" i="6"/>
  <c r="I46" i="6" s="1"/>
  <c r="H21" i="6"/>
  <c r="H46" i="6" s="1"/>
  <c r="G21" i="6"/>
  <c r="L20" i="6"/>
  <c r="L45" i="6" s="1"/>
  <c r="K20" i="6"/>
  <c r="K45" i="6" s="1"/>
  <c r="J20" i="6"/>
  <c r="J45" i="6" s="1"/>
  <c r="I20" i="6"/>
  <c r="I45" i="6" s="1"/>
  <c r="H20" i="6"/>
  <c r="H45" i="6" s="1"/>
  <c r="G20" i="6"/>
  <c r="G45" i="6" s="1"/>
  <c r="H19" i="6"/>
  <c r="H44" i="6" s="1"/>
  <c r="G19" i="6"/>
  <c r="F33" i="6" l="1"/>
  <c r="I19" i="6"/>
  <c r="F23" i="6"/>
  <c r="F38" i="6"/>
  <c r="I18" i="6"/>
  <c r="F47" i="6"/>
  <c r="H18" i="6"/>
  <c r="K18" i="6"/>
  <c r="F21" i="6"/>
  <c r="F28" i="6"/>
  <c r="F20" i="6"/>
  <c r="H43" i="6"/>
  <c r="F45" i="6"/>
  <c r="F22" i="6"/>
  <c r="F29" i="6"/>
  <c r="F39" i="6"/>
  <c r="G44" i="6"/>
  <c r="I44" i="6"/>
  <c r="K44" i="6"/>
  <c r="K43" i="6" s="1"/>
  <c r="G46" i="6"/>
  <c r="F46" i="6" s="1"/>
  <c r="G18" i="6"/>
  <c r="J19" i="6"/>
  <c r="L19" i="6"/>
  <c r="F19" i="6" l="1"/>
  <c r="I43" i="6"/>
  <c r="J44" i="6"/>
  <c r="J18" i="6"/>
  <c r="F18" i="6" s="1"/>
  <c r="L44" i="6"/>
  <c r="L43" i="6" s="1"/>
  <c r="L18" i="6"/>
  <c r="G43" i="6"/>
  <c r="J43" i="6" l="1"/>
  <c r="F81" i="10"/>
  <c r="F44" i="6"/>
  <c r="F43" i="6"/>
  <c r="I28" i="1" l="1"/>
  <c r="I33" i="1"/>
  <c r="I31" i="1"/>
  <c r="I26" i="1" s="1"/>
  <c r="I21" i="1" s="1"/>
  <c r="I23" i="1" l="1"/>
  <c r="I18" i="1" s="1"/>
  <c r="L33" i="2"/>
  <c r="K33" i="2"/>
  <c r="L28" i="1"/>
  <c r="K33" i="1"/>
  <c r="J23" i="2"/>
  <c r="J18" i="2" s="1"/>
  <c r="E96" i="10" l="1"/>
  <c r="G60" i="10"/>
  <c r="C54" i="10"/>
  <c r="C19" i="10" l="1"/>
  <c r="G48" i="10"/>
  <c r="G96" i="10"/>
  <c r="C43" i="10"/>
  <c r="D84" i="10"/>
  <c r="C91" i="10"/>
  <c r="C92" i="10"/>
  <c r="G72" i="10"/>
  <c r="C56" i="10"/>
  <c r="C67" i="10"/>
  <c r="E84" i="10"/>
  <c r="C80" i="10"/>
  <c r="C55" i="10"/>
  <c r="D72" i="10"/>
  <c r="C78" i="10"/>
  <c r="G84" i="10"/>
  <c r="E72" i="10"/>
  <c r="C68" i="10"/>
  <c r="C79" i="10"/>
  <c r="D96" i="10"/>
  <c r="E48" i="10"/>
  <c r="E60" i="10"/>
  <c r="C82" i="10"/>
  <c r="C83" i="10"/>
  <c r="C18" i="10"/>
  <c r="C42" i="10"/>
  <c r="C66" i="10"/>
  <c r="C90" i="10"/>
  <c r="N203" i="2" l="1"/>
  <c r="I78" i="2"/>
  <c r="I24" i="1" l="1"/>
  <c r="I19" i="1" s="1"/>
  <c r="I25" i="1"/>
  <c r="I20" i="1" s="1"/>
  <c r="I32" i="1"/>
  <c r="I37" i="1"/>
  <c r="I42" i="1"/>
  <c r="I52" i="1"/>
  <c r="I59" i="1"/>
  <c r="I49" i="1" s="1"/>
  <c r="I60" i="1"/>
  <c r="I50" i="1" s="1"/>
  <c r="I61" i="1"/>
  <c r="I51" i="1" s="1"/>
  <c r="I62" i="1"/>
  <c r="I67" i="1"/>
  <c r="I72" i="1"/>
  <c r="I78" i="1"/>
  <c r="I79" i="1"/>
  <c r="I80" i="1"/>
  <c r="I81" i="1"/>
  <c r="I82" i="1"/>
  <c r="I87" i="1"/>
  <c r="I92" i="1"/>
  <c r="I97" i="1"/>
  <c r="I102" i="1"/>
  <c r="I107" i="1"/>
  <c r="I112" i="1"/>
  <c r="J23" i="1"/>
  <c r="J18" i="1" s="1"/>
  <c r="I77" i="1" l="1"/>
  <c r="I57" i="1"/>
  <c r="I121" i="1"/>
  <c r="I119" i="1"/>
  <c r="I120" i="1"/>
  <c r="I47" i="1"/>
  <c r="F201" i="2"/>
  <c r="F200" i="2"/>
  <c r="F199" i="2"/>
  <c r="F198" i="2"/>
  <c r="L197" i="2"/>
  <c r="K197" i="2"/>
  <c r="J197" i="2"/>
  <c r="I197" i="2"/>
  <c r="H197" i="2"/>
  <c r="G197" i="2"/>
  <c r="K144" i="2"/>
  <c r="L144" i="2"/>
  <c r="J144" i="2"/>
  <c r="K143" i="2"/>
  <c r="L143" i="2"/>
  <c r="J143" i="2"/>
  <c r="F166" i="2"/>
  <c r="F165" i="2"/>
  <c r="F164" i="2"/>
  <c r="F163" i="2"/>
  <c r="L162" i="2"/>
  <c r="K162" i="2"/>
  <c r="J162" i="2"/>
  <c r="I162" i="2"/>
  <c r="H162" i="2"/>
  <c r="G162" i="2"/>
  <c r="F162" i="2" l="1"/>
  <c r="I27" i="1"/>
  <c r="I22" i="1" s="1"/>
  <c r="F197" i="2"/>
  <c r="F116" i="1"/>
  <c r="F115" i="1"/>
  <c r="F114" i="1"/>
  <c r="F113" i="1"/>
  <c r="L112" i="1"/>
  <c r="K112" i="1"/>
  <c r="J112" i="1"/>
  <c r="H112" i="1"/>
  <c r="G112" i="1"/>
  <c r="K23" i="1"/>
  <c r="K18" i="1" s="1"/>
  <c r="L23" i="1"/>
  <c r="L18" i="1" s="1"/>
  <c r="K24" i="1"/>
  <c r="K19" i="1" s="1"/>
  <c r="L24" i="1"/>
  <c r="L19" i="1" s="1"/>
  <c r="J24" i="1"/>
  <c r="L37" i="1"/>
  <c r="K37" i="1"/>
  <c r="J37" i="1"/>
  <c r="H37" i="1"/>
  <c r="G37" i="1"/>
  <c r="F41" i="1"/>
  <c r="F40" i="1"/>
  <c r="F39" i="1"/>
  <c r="F38" i="1"/>
  <c r="F112" i="1" l="1"/>
  <c r="I17" i="1"/>
  <c r="I118" i="1"/>
  <c r="I117" i="1" s="1"/>
  <c r="F37" i="1"/>
  <c r="J48" i="1"/>
  <c r="F111" i="1"/>
  <c r="F110" i="1"/>
  <c r="F109" i="1"/>
  <c r="F108" i="1"/>
  <c r="L107" i="1"/>
  <c r="K107" i="1"/>
  <c r="J107" i="1"/>
  <c r="H107" i="1"/>
  <c r="G107" i="1"/>
  <c r="F196" i="2"/>
  <c r="F195" i="2"/>
  <c r="F194" i="2"/>
  <c r="F193" i="2"/>
  <c r="L192" i="2"/>
  <c r="K192" i="2"/>
  <c r="J192" i="2"/>
  <c r="I192" i="2"/>
  <c r="H192" i="2"/>
  <c r="G192" i="2"/>
  <c r="F191" i="2"/>
  <c r="F190" i="2"/>
  <c r="F189" i="2"/>
  <c r="F188" i="2"/>
  <c r="F187" i="2" s="1"/>
  <c r="L187" i="2"/>
  <c r="K187" i="2"/>
  <c r="J187" i="2"/>
  <c r="I187" i="2"/>
  <c r="H187" i="2"/>
  <c r="G187" i="2"/>
  <c r="F186" i="2"/>
  <c r="F185" i="2"/>
  <c r="F184" i="2"/>
  <c r="F183" i="2"/>
  <c r="L182" i="2"/>
  <c r="K182" i="2"/>
  <c r="J182" i="2"/>
  <c r="I182" i="2"/>
  <c r="H182" i="2"/>
  <c r="G182" i="2"/>
  <c r="F181" i="2"/>
  <c r="F180" i="2"/>
  <c r="F179" i="2"/>
  <c r="F178" i="2"/>
  <c r="L177" i="2"/>
  <c r="K177" i="2"/>
  <c r="J177" i="2"/>
  <c r="I177" i="2"/>
  <c r="H177" i="2"/>
  <c r="G177" i="2"/>
  <c r="F176" i="2"/>
  <c r="F175" i="2"/>
  <c r="F174" i="2"/>
  <c r="L172" i="2"/>
  <c r="J172" i="2"/>
  <c r="I173" i="2"/>
  <c r="F173" i="2" s="1"/>
  <c r="K172" i="2"/>
  <c r="H172" i="2"/>
  <c r="G172" i="2"/>
  <c r="F171" i="2"/>
  <c r="F170" i="2"/>
  <c r="F169" i="2"/>
  <c r="F168" i="2"/>
  <c r="L167" i="2"/>
  <c r="K167" i="2"/>
  <c r="J167" i="2"/>
  <c r="I167" i="2"/>
  <c r="H167" i="2"/>
  <c r="G167" i="2"/>
  <c r="F161" i="2"/>
  <c r="F160" i="2"/>
  <c r="F159" i="2"/>
  <c r="F158" i="2"/>
  <c r="L157" i="2"/>
  <c r="K157" i="2"/>
  <c r="J157" i="2"/>
  <c r="I157" i="2"/>
  <c r="H157" i="2"/>
  <c r="G157" i="2"/>
  <c r="F156" i="2"/>
  <c r="F155" i="2"/>
  <c r="F154" i="2"/>
  <c r="H153" i="2"/>
  <c r="F153" i="2" s="1"/>
  <c r="L152" i="2"/>
  <c r="K152" i="2"/>
  <c r="J152" i="2"/>
  <c r="I152" i="2"/>
  <c r="G152" i="2"/>
  <c r="F151" i="2"/>
  <c r="F150" i="2"/>
  <c r="F149" i="2"/>
  <c r="F148" i="2"/>
  <c r="L147" i="2"/>
  <c r="K147" i="2"/>
  <c r="J147" i="2"/>
  <c r="I147" i="2"/>
  <c r="H147" i="2"/>
  <c r="G147" i="2"/>
  <c r="L146" i="2"/>
  <c r="L142" i="2" s="1"/>
  <c r="K146" i="2"/>
  <c r="J146" i="2"/>
  <c r="I146" i="2"/>
  <c r="H146" i="2"/>
  <c r="G146" i="2"/>
  <c r="J142" i="2"/>
  <c r="I145" i="2"/>
  <c r="H145" i="2"/>
  <c r="G145" i="2"/>
  <c r="I144" i="2"/>
  <c r="H144" i="2"/>
  <c r="G144" i="2"/>
  <c r="I143" i="2"/>
  <c r="G143" i="2"/>
  <c r="F141" i="2"/>
  <c r="F140" i="2"/>
  <c r="F139" i="2"/>
  <c r="G138" i="2"/>
  <c r="F138" i="2" s="1"/>
  <c r="L137" i="2"/>
  <c r="K137" i="2"/>
  <c r="J137" i="2"/>
  <c r="I137" i="2"/>
  <c r="H137" i="2"/>
  <c r="F136" i="2"/>
  <c r="F135" i="2"/>
  <c r="F134" i="2"/>
  <c r="F133" i="2"/>
  <c r="L132" i="2"/>
  <c r="K132" i="2"/>
  <c r="J132" i="2"/>
  <c r="I132" i="2"/>
  <c r="H132" i="2"/>
  <c r="G132" i="2"/>
  <c r="F131" i="2"/>
  <c r="H130" i="2"/>
  <c r="F130" i="2" s="1"/>
  <c r="H129" i="2"/>
  <c r="F129" i="2" s="1"/>
  <c r="H128" i="2"/>
  <c r="F128" i="2" s="1"/>
  <c r="L127" i="2"/>
  <c r="K127" i="2"/>
  <c r="J127" i="2"/>
  <c r="I127" i="2"/>
  <c r="G127" i="2"/>
  <c r="F126" i="2"/>
  <c r="H125" i="2"/>
  <c r="F125" i="2" s="1"/>
  <c r="H124" i="2"/>
  <c r="F124" i="2" s="1"/>
  <c r="H123" i="2"/>
  <c r="F123" i="2" s="1"/>
  <c r="L122" i="2"/>
  <c r="K122" i="2"/>
  <c r="J122" i="2"/>
  <c r="I122" i="2"/>
  <c r="G122" i="2"/>
  <c r="H121" i="2"/>
  <c r="F121" i="2" s="1"/>
  <c r="L117" i="2"/>
  <c r="K117" i="2"/>
  <c r="J117" i="2"/>
  <c r="I117" i="2"/>
  <c r="G117" i="2"/>
  <c r="F116" i="2"/>
  <c r="F115" i="2"/>
  <c r="I114" i="2"/>
  <c r="H114" i="2"/>
  <c r="I113" i="2"/>
  <c r="H113" i="2"/>
  <c r="L112" i="2"/>
  <c r="K112" i="2"/>
  <c r="J112" i="2"/>
  <c r="G112" i="2"/>
  <c r="F111" i="2"/>
  <c r="F110" i="2"/>
  <c r="I109" i="2"/>
  <c r="H109" i="2"/>
  <c r="I108" i="2"/>
  <c r="H108" i="2"/>
  <c r="L107" i="2"/>
  <c r="K107" i="2"/>
  <c r="J107" i="2"/>
  <c r="G107" i="2"/>
  <c r="F106" i="2"/>
  <c r="F105" i="2"/>
  <c r="F104" i="2"/>
  <c r="H103" i="2"/>
  <c r="F103" i="2" s="1"/>
  <c r="L102" i="2"/>
  <c r="K102" i="2"/>
  <c r="J102" i="2"/>
  <c r="I102" i="2"/>
  <c r="G102" i="2"/>
  <c r="L101" i="2"/>
  <c r="K101" i="2"/>
  <c r="J101" i="2"/>
  <c r="I101" i="2"/>
  <c r="H101" i="2"/>
  <c r="G101" i="2"/>
  <c r="L100" i="2"/>
  <c r="K100" i="2"/>
  <c r="J100" i="2"/>
  <c r="I100" i="2"/>
  <c r="H100" i="2"/>
  <c r="G100" i="2"/>
  <c r="L99" i="2"/>
  <c r="K99" i="2"/>
  <c r="J99" i="2"/>
  <c r="I99" i="2"/>
  <c r="H99" i="2"/>
  <c r="G99" i="2"/>
  <c r="L98" i="2"/>
  <c r="K98" i="2"/>
  <c r="J98" i="2"/>
  <c r="I98" i="2"/>
  <c r="H98" i="2"/>
  <c r="H97" i="2" s="1"/>
  <c r="G98" i="2"/>
  <c r="F96" i="2"/>
  <c r="F95" i="2"/>
  <c r="G94" i="2"/>
  <c r="F93" i="2"/>
  <c r="L92" i="2"/>
  <c r="K92" i="2"/>
  <c r="J92" i="2"/>
  <c r="I92" i="2"/>
  <c r="H92" i="2"/>
  <c r="F91" i="2"/>
  <c r="F90" i="2"/>
  <c r="F89" i="2"/>
  <c r="H88" i="2"/>
  <c r="G88" i="2"/>
  <c r="G78" i="2" s="1"/>
  <c r="L87" i="2"/>
  <c r="K87" i="2"/>
  <c r="J87" i="2"/>
  <c r="I87" i="2"/>
  <c r="H87" i="2"/>
  <c r="F86" i="2"/>
  <c r="F85" i="2"/>
  <c r="F84" i="2"/>
  <c r="F83" i="2"/>
  <c r="L82" i="2"/>
  <c r="K82" i="2"/>
  <c r="J82" i="2"/>
  <c r="I82" i="2"/>
  <c r="H82" i="2"/>
  <c r="G82" i="2"/>
  <c r="L81" i="2"/>
  <c r="K81" i="2"/>
  <c r="J81" i="2"/>
  <c r="I81" i="2"/>
  <c r="H81" i="2"/>
  <c r="G81" i="2"/>
  <c r="L80" i="2"/>
  <c r="K80" i="2"/>
  <c r="J80" i="2"/>
  <c r="I80" i="2"/>
  <c r="H80" i="2"/>
  <c r="G80" i="2"/>
  <c r="L79" i="2"/>
  <c r="K79" i="2"/>
  <c r="J79" i="2"/>
  <c r="I79" i="2"/>
  <c r="H79" i="2"/>
  <c r="G79" i="2"/>
  <c r="L78" i="2"/>
  <c r="K78" i="2"/>
  <c r="J78" i="2"/>
  <c r="H78" i="2"/>
  <c r="H77" i="2" s="1"/>
  <c r="F76" i="2"/>
  <c r="F75" i="2"/>
  <c r="F74" i="2"/>
  <c r="H73" i="2"/>
  <c r="F73" i="2" s="1"/>
  <c r="L72" i="2"/>
  <c r="K72" i="2"/>
  <c r="J72" i="2"/>
  <c r="I72" i="2"/>
  <c r="G72" i="2"/>
  <c r="F71" i="2"/>
  <c r="F70" i="2"/>
  <c r="F69" i="2"/>
  <c r="F68" i="2"/>
  <c r="L67" i="2"/>
  <c r="K67" i="2"/>
  <c r="J67" i="2"/>
  <c r="I67" i="2"/>
  <c r="H67" i="2"/>
  <c r="G67" i="2"/>
  <c r="L66" i="2"/>
  <c r="L61" i="2" s="1"/>
  <c r="K66" i="2"/>
  <c r="K61" i="2" s="1"/>
  <c r="J66" i="2"/>
  <c r="J61" i="2" s="1"/>
  <c r="I66" i="2"/>
  <c r="F66" i="2" s="1"/>
  <c r="H66" i="2"/>
  <c r="H61" i="2" s="1"/>
  <c r="G66" i="2"/>
  <c r="G61" i="2" s="1"/>
  <c r="L65" i="2"/>
  <c r="L60" i="2" s="1"/>
  <c r="K65" i="2"/>
  <c r="K60" i="2" s="1"/>
  <c r="J65" i="2"/>
  <c r="J60" i="2" s="1"/>
  <c r="I65" i="2"/>
  <c r="I60" i="2" s="1"/>
  <c r="H65" i="2"/>
  <c r="H60" i="2" s="1"/>
  <c r="G65" i="2"/>
  <c r="L64" i="2"/>
  <c r="L59" i="2" s="1"/>
  <c r="K64" i="2"/>
  <c r="J64" i="2"/>
  <c r="J59" i="2" s="1"/>
  <c r="I64" i="2"/>
  <c r="I59" i="2" s="1"/>
  <c r="H64" i="2"/>
  <c r="H59" i="2" s="1"/>
  <c r="G64" i="2"/>
  <c r="G63" i="2"/>
  <c r="K59" i="2"/>
  <c r="F51" i="2"/>
  <c r="F50" i="2"/>
  <c r="F49" i="2"/>
  <c r="F48" i="2"/>
  <c r="L47" i="2"/>
  <c r="K47" i="2"/>
  <c r="J47" i="2"/>
  <c r="I47" i="2"/>
  <c r="H47" i="2"/>
  <c r="G47" i="2"/>
  <c r="F46" i="2"/>
  <c r="F45" i="2"/>
  <c r="F44" i="2"/>
  <c r="F43" i="2"/>
  <c r="L42" i="2"/>
  <c r="K42" i="2"/>
  <c r="J42" i="2"/>
  <c r="I42" i="2"/>
  <c r="H42" i="2"/>
  <c r="G42" i="2"/>
  <c r="F41" i="2"/>
  <c r="F40" i="2"/>
  <c r="F39" i="2"/>
  <c r="F38" i="2"/>
  <c r="L37" i="2"/>
  <c r="K37" i="2"/>
  <c r="J37" i="2"/>
  <c r="I37" i="2"/>
  <c r="H37" i="2"/>
  <c r="G37" i="2"/>
  <c r="F36" i="2"/>
  <c r="F35" i="2"/>
  <c r="F34" i="2"/>
  <c r="I32" i="2"/>
  <c r="H33" i="2"/>
  <c r="L32" i="2"/>
  <c r="K32" i="2"/>
  <c r="J32" i="2"/>
  <c r="G32" i="2"/>
  <c r="F31" i="2"/>
  <c r="F30" i="2"/>
  <c r="F29" i="2"/>
  <c r="K27" i="2"/>
  <c r="G28" i="2"/>
  <c r="L27" i="2"/>
  <c r="J27" i="2"/>
  <c r="H27" i="2"/>
  <c r="L26" i="2"/>
  <c r="K26" i="2"/>
  <c r="I26" i="2"/>
  <c r="H26" i="2"/>
  <c r="G26" i="2"/>
  <c r="L25" i="2"/>
  <c r="K25" i="2"/>
  <c r="J25" i="2"/>
  <c r="I25" i="2"/>
  <c r="I205" i="2" s="1"/>
  <c r="H25" i="2"/>
  <c r="G25" i="2"/>
  <c r="L24" i="2"/>
  <c r="K24" i="2"/>
  <c r="J24" i="2"/>
  <c r="I24" i="2"/>
  <c r="H24" i="2"/>
  <c r="G24" i="2"/>
  <c r="L23" i="2"/>
  <c r="F106" i="1"/>
  <c r="F105" i="1"/>
  <c r="F104" i="1"/>
  <c r="F103" i="1"/>
  <c r="L102" i="1"/>
  <c r="K102" i="1"/>
  <c r="J102" i="1"/>
  <c r="H102" i="1"/>
  <c r="G102" i="1"/>
  <c r="F101" i="1"/>
  <c r="F100" i="1"/>
  <c r="F99" i="1"/>
  <c r="F98" i="1"/>
  <c r="L97" i="1"/>
  <c r="K97" i="1"/>
  <c r="J97" i="1"/>
  <c r="H97" i="1"/>
  <c r="G97" i="1"/>
  <c r="F96" i="1"/>
  <c r="F95" i="1"/>
  <c r="H94" i="1"/>
  <c r="F94" i="1"/>
  <c r="H93" i="1"/>
  <c r="F93" i="1" s="1"/>
  <c r="L92" i="1"/>
  <c r="K92" i="1"/>
  <c r="J92" i="1"/>
  <c r="H92" i="1"/>
  <c r="G92" i="1"/>
  <c r="F91" i="1"/>
  <c r="F90" i="1"/>
  <c r="F89" i="1"/>
  <c r="F88" i="1"/>
  <c r="L87" i="1"/>
  <c r="K87" i="1"/>
  <c r="J87" i="1"/>
  <c r="H87" i="1"/>
  <c r="G87" i="1"/>
  <c r="F86" i="1"/>
  <c r="F85" i="1"/>
  <c r="F84" i="1"/>
  <c r="F83" i="1"/>
  <c r="L82" i="1"/>
  <c r="K82" i="1"/>
  <c r="J82" i="1"/>
  <c r="H82" i="1"/>
  <c r="G82" i="1"/>
  <c r="L81" i="1"/>
  <c r="K81" i="1"/>
  <c r="J81" i="1"/>
  <c r="H81" i="1"/>
  <c r="G81" i="1"/>
  <c r="L80" i="1"/>
  <c r="K80" i="1"/>
  <c r="J80" i="1"/>
  <c r="H80" i="1"/>
  <c r="G80" i="1"/>
  <c r="L79" i="1"/>
  <c r="K79" i="1"/>
  <c r="J79" i="1"/>
  <c r="H79" i="1"/>
  <c r="G79" i="1"/>
  <c r="L78" i="1"/>
  <c r="K78" i="1"/>
  <c r="J78" i="1"/>
  <c r="H78" i="1"/>
  <c r="G78" i="1"/>
  <c r="F76" i="1"/>
  <c r="F75" i="1"/>
  <c r="F74" i="1"/>
  <c r="H73" i="1"/>
  <c r="H58" i="1" s="1"/>
  <c r="H48" i="1" s="1"/>
  <c r="F73" i="1"/>
  <c r="L72" i="1"/>
  <c r="K72" i="1"/>
  <c r="J72" i="1"/>
  <c r="H72" i="1"/>
  <c r="G72" i="1"/>
  <c r="F71" i="1"/>
  <c r="F70" i="1"/>
  <c r="F69" i="1"/>
  <c r="F68" i="1"/>
  <c r="L67" i="1"/>
  <c r="K67" i="1"/>
  <c r="J67" i="1"/>
  <c r="H67" i="1"/>
  <c r="G67" i="1"/>
  <c r="F66" i="1"/>
  <c r="F65" i="1"/>
  <c r="F64" i="1"/>
  <c r="F63" i="1"/>
  <c r="L62" i="1"/>
  <c r="K62" i="1"/>
  <c r="J62" i="1"/>
  <c r="H62" i="1"/>
  <c r="G62" i="1"/>
  <c r="L61" i="1"/>
  <c r="L51" i="1" s="1"/>
  <c r="K61" i="1"/>
  <c r="K51" i="1" s="1"/>
  <c r="J61" i="1"/>
  <c r="J51" i="1" s="1"/>
  <c r="F61" i="1"/>
  <c r="H61" i="1"/>
  <c r="G61" i="1"/>
  <c r="G51" i="1" s="1"/>
  <c r="L60" i="1"/>
  <c r="L50" i="1" s="1"/>
  <c r="K60" i="1"/>
  <c r="K50" i="1" s="1"/>
  <c r="J60" i="1"/>
  <c r="J50" i="1" s="1"/>
  <c r="H60" i="1"/>
  <c r="H50" i="1" s="1"/>
  <c r="G60" i="1"/>
  <c r="G50" i="1" s="1"/>
  <c r="L59" i="1"/>
  <c r="K59" i="1"/>
  <c r="J59" i="1"/>
  <c r="H59" i="1"/>
  <c r="G59" i="1"/>
  <c r="G49" i="1" s="1"/>
  <c r="K57" i="1"/>
  <c r="G58" i="1"/>
  <c r="F56" i="1"/>
  <c r="F55" i="1"/>
  <c r="F54" i="1"/>
  <c r="F53" i="1"/>
  <c r="L52" i="1"/>
  <c r="K52" i="1"/>
  <c r="J52" i="1"/>
  <c r="H52" i="1"/>
  <c r="G52" i="1"/>
  <c r="H51" i="1"/>
  <c r="L49" i="1"/>
  <c r="L119" i="1" s="1"/>
  <c r="K49" i="1"/>
  <c r="G48" i="1"/>
  <c r="F46" i="1"/>
  <c r="F45" i="1"/>
  <c r="F44" i="1"/>
  <c r="F43" i="1"/>
  <c r="L42" i="1"/>
  <c r="K42" i="1"/>
  <c r="J42" i="1"/>
  <c r="H42" i="1"/>
  <c r="G42" i="1"/>
  <c r="F36" i="1"/>
  <c r="F35" i="1"/>
  <c r="F34" i="1"/>
  <c r="H33" i="1"/>
  <c r="F33" i="1" s="1"/>
  <c r="L32" i="1"/>
  <c r="K32" i="1"/>
  <c r="J32" i="1"/>
  <c r="H32" i="1"/>
  <c r="G32" i="1"/>
  <c r="F31" i="1"/>
  <c r="F30" i="1"/>
  <c r="F29" i="1"/>
  <c r="L27" i="1"/>
  <c r="J27" i="1"/>
  <c r="H27" i="1"/>
  <c r="G28" i="1"/>
  <c r="G27" i="1" s="1"/>
  <c r="G22" i="1" s="1"/>
  <c r="K27" i="1"/>
  <c r="L26" i="1"/>
  <c r="L21" i="1" s="1"/>
  <c r="K26" i="1"/>
  <c r="J21" i="1"/>
  <c r="H26" i="1"/>
  <c r="H21" i="1" s="1"/>
  <c r="G26" i="1"/>
  <c r="G21" i="1" s="1"/>
  <c r="L25" i="1"/>
  <c r="L20" i="1" s="1"/>
  <c r="K25" i="1"/>
  <c r="K20" i="1" s="1"/>
  <c r="J25" i="1"/>
  <c r="J20" i="1" s="1"/>
  <c r="H25" i="1"/>
  <c r="H20" i="1" s="1"/>
  <c r="G25" i="1"/>
  <c r="J19" i="1"/>
  <c r="H24" i="1"/>
  <c r="H19" i="1" s="1"/>
  <c r="G24" i="1"/>
  <c r="G19" i="1" s="1"/>
  <c r="G23" i="1"/>
  <c r="K21" i="1"/>
  <c r="F82" i="1" l="1"/>
  <c r="F34" i="7"/>
  <c r="E32" i="10"/>
  <c r="E8" i="10" s="1"/>
  <c r="F78" i="1"/>
  <c r="L77" i="1"/>
  <c r="J77" i="2"/>
  <c r="J203" i="2"/>
  <c r="F33" i="10" s="1"/>
  <c r="G119" i="1"/>
  <c r="F62" i="1"/>
  <c r="H120" i="1"/>
  <c r="H22" i="1"/>
  <c r="F59" i="1"/>
  <c r="K204" i="2"/>
  <c r="D34" i="10" s="1"/>
  <c r="D10" i="10" s="1"/>
  <c r="F137" i="2"/>
  <c r="J118" i="1"/>
  <c r="F21" i="10" s="1"/>
  <c r="G24" i="10"/>
  <c r="L120" i="1"/>
  <c r="L121" i="1"/>
  <c r="H121" i="1"/>
  <c r="J57" i="1"/>
  <c r="K77" i="1"/>
  <c r="L204" i="2"/>
  <c r="D35" i="10" s="1"/>
  <c r="D11" i="10" s="1"/>
  <c r="H206" i="2"/>
  <c r="K121" i="1"/>
  <c r="H49" i="1"/>
  <c r="H47" i="1" s="1"/>
  <c r="J77" i="1"/>
  <c r="F80" i="1"/>
  <c r="K205" i="2"/>
  <c r="F101" i="2"/>
  <c r="I107" i="2"/>
  <c r="J120" i="1"/>
  <c r="H57" i="1"/>
  <c r="L57" i="1"/>
  <c r="H77" i="1"/>
  <c r="L206" i="2"/>
  <c r="J205" i="2"/>
  <c r="E33" i="10" s="1"/>
  <c r="E9" i="10" s="1"/>
  <c r="L62" i="2"/>
  <c r="H143" i="2"/>
  <c r="J17" i="1"/>
  <c r="J121" i="1"/>
  <c r="G21" i="10" s="1"/>
  <c r="F72" i="1"/>
  <c r="J49" i="1"/>
  <c r="J119" i="1" s="1"/>
  <c r="D21" i="10" s="1"/>
  <c r="D24" i="10" s="1"/>
  <c r="F81" i="1"/>
  <c r="J206" i="2"/>
  <c r="L77" i="2"/>
  <c r="H33" i="7"/>
  <c r="I142" i="2"/>
  <c r="F102" i="1"/>
  <c r="F92" i="1"/>
  <c r="F97" i="1"/>
  <c r="F32" i="1"/>
  <c r="F52" i="1"/>
  <c r="F67" i="1"/>
  <c r="F87" i="1"/>
  <c r="H23" i="2"/>
  <c r="F25" i="2"/>
  <c r="F33" i="2"/>
  <c r="F32" i="2" s="1"/>
  <c r="F64" i="2"/>
  <c r="F67" i="2"/>
  <c r="F81" i="2"/>
  <c r="F94" i="2"/>
  <c r="F92" i="2" s="1"/>
  <c r="F47" i="2"/>
  <c r="G59" i="2"/>
  <c r="F59" i="2" s="1"/>
  <c r="I62" i="2"/>
  <c r="F99" i="2"/>
  <c r="F100" i="2"/>
  <c r="L97" i="2"/>
  <c r="H102" i="2"/>
  <c r="F108" i="2"/>
  <c r="F109" i="2"/>
  <c r="F114" i="2"/>
  <c r="F132" i="2"/>
  <c r="G137" i="2"/>
  <c r="H152" i="2"/>
  <c r="F192" i="2"/>
  <c r="J22" i="2"/>
  <c r="I204" i="2"/>
  <c r="D32" i="10" s="1"/>
  <c r="D8" i="10" s="1"/>
  <c r="I27" i="2"/>
  <c r="F37" i="2"/>
  <c r="J57" i="2"/>
  <c r="F72" i="2"/>
  <c r="F79" i="2"/>
  <c r="F80" i="2"/>
  <c r="F88" i="2"/>
  <c r="F87" i="2" s="1"/>
  <c r="J97" i="2"/>
  <c r="F102" i="2"/>
  <c r="H122" i="2"/>
  <c r="H127" i="2"/>
  <c r="H142" i="2"/>
  <c r="F147" i="2"/>
  <c r="K206" i="2"/>
  <c r="K62" i="2"/>
  <c r="G142" i="2"/>
  <c r="L205" i="2"/>
  <c r="E35" i="10" s="1"/>
  <c r="E11" i="10" s="1"/>
  <c r="F177" i="2"/>
  <c r="F182" i="2"/>
  <c r="H22" i="2"/>
  <c r="L22" i="2"/>
  <c r="F26" i="2"/>
  <c r="H32" i="2"/>
  <c r="I61" i="2"/>
  <c r="F61" i="2" s="1"/>
  <c r="J62" i="2"/>
  <c r="F65" i="2"/>
  <c r="H72" i="2"/>
  <c r="I77" i="2"/>
  <c r="K77" i="2"/>
  <c r="F82" i="2"/>
  <c r="G92" i="2"/>
  <c r="F98" i="2"/>
  <c r="F97" i="2" s="1"/>
  <c r="I97" i="2"/>
  <c r="K97" i="2"/>
  <c r="H112" i="2"/>
  <c r="F113" i="2"/>
  <c r="F112" i="2" s="1"/>
  <c r="I112" i="2"/>
  <c r="F146" i="2"/>
  <c r="F157" i="2"/>
  <c r="F167" i="2"/>
  <c r="I172" i="2"/>
  <c r="F24" i="2"/>
  <c r="F42" i="2"/>
  <c r="F78" i="2"/>
  <c r="F77" i="2" s="1"/>
  <c r="F145" i="2"/>
  <c r="K142" i="2"/>
  <c r="F144" i="2"/>
  <c r="F143" i="2"/>
  <c r="F152" i="2"/>
  <c r="F172" i="2"/>
  <c r="F25" i="1"/>
  <c r="F51" i="1"/>
  <c r="K119" i="1"/>
  <c r="G121" i="1"/>
  <c r="K120" i="1"/>
  <c r="L48" i="1"/>
  <c r="J22" i="1"/>
  <c r="L22" i="1"/>
  <c r="F42" i="1"/>
  <c r="K48" i="1"/>
  <c r="K47" i="1" s="1"/>
  <c r="F50" i="1"/>
  <c r="F60" i="1"/>
  <c r="G77" i="1"/>
  <c r="F79" i="1"/>
  <c r="J47" i="1"/>
  <c r="K22" i="1"/>
  <c r="F24" i="1"/>
  <c r="F58" i="1"/>
  <c r="F107" i="1"/>
  <c r="J204" i="2"/>
  <c r="D33" i="10" s="1"/>
  <c r="F20" i="2"/>
  <c r="L57" i="2"/>
  <c r="F122" i="2"/>
  <c r="F127" i="2"/>
  <c r="L203" i="2"/>
  <c r="F35" i="10" s="1"/>
  <c r="F11" i="10" s="1"/>
  <c r="G23" i="2"/>
  <c r="I23" i="2"/>
  <c r="K23" i="2"/>
  <c r="K18" i="2" s="1"/>
  <c r="G27" i="2"/>
  <c r="G58" i="2"/>
  <c r="K57" i="2"/>
  <c r="G60" i="2"/>
  <c r="F60" i="2" s="1"/>
  <c r="G62" i="2"/>
  <c r="H63" i="2"/>
  <c r="G77" i="2"/>
  <c r="G87" i="2"/>
  <c r="G97" i="2"/>
  <c r="H107" i="2"/>
  <c r="H118" i="2"/>
  <c r="H119" i="2"/>
  <c r="F119" i="2" s="1"/>
  <c r="H120" i="2"/>
  <c r="F120" i="2" s="1"/>
  <c r="K17" i="1"/>
  <c r="G18" i="1"/>
  <c r="F19" i="1"/>
  <c r="G20" i="1"/>
  <c r="H23" i="1"/>
  <c r="H18" i="1" s="1"/>
  <c r="G47" i="1"/>
  <c r="G57" i="1"/>
  <c r="J117" i="1" l="1"/>
  <c r="G26" i="7"/>
  <c r="E35" i="7"/>
  <c r="G31" i="10"/>
  <c r="G7" i="10" s="1"/>
  <c r="I35" i="7"/>
  <c r="G35" i="10"/>
  <c r="G11" i="10" s="1"/>
  <c r="H35" i="7"/>
  <c r="G34" i="10"/>
  <c r="G10" i="10" s="1"/>
  <c r="H34" i="7"/>
  <c r="E34" i="10"/>
  <c r="E10" i="10" s="1"/>
  <c r="G35" i="7"/>
  <c r="G33" i="10"/>
  <c r="G9" i="10" s="1"/>
  <c r="J202" i="2"/>
  <c r="F48" i="1"/>
  <c r="F107" i="2"/>
  <c r="G34" i="7"/>
  <c r="I57" i="2"/>
  <c r="F33" i="7"/>
  <c r="G27" i="7"/>
  <c r="C20" i="10"/>
  <c r="I206" i="2"/>
  <c r="G32" i="10" s="1"/>
  <c r="G8" i="10" s="1"/>
  <c r="I33" i="7"/>
  <c r="H119" i="1"/>
  <c r="F119" i="1" s="1"/>
  <c r="F77" i="1"/>
  <c r="F49" i="1"/>
  <c r="F47" i="1" s="1"/>
  <c r="E24" i="10"/>
  <c r="G33" i="7"/>
  <c r="I34" i="7"/>
  <c r="I32" i="7"/>
  <c r="C21" i="10"/>
  <c r="F28" i="2"/>
  <c r="F27" i="2" s="1"/>
  <c r="G205" i="2"/>
  <c r="H204" i="2"/>
  <c r="L47" i="1"/>
  <c r="L118" i="1"/>
  <c r="F142" i="2"/>
  <c r="K118" i="1"/>
  <c r="F22" i="10" s="1"/>
  <c r="F57" i="1"/>
  <c r="H117" i="2"/>
  <c r="F118" i="2"/>
  <c r="F117" i="2" s="1"/>
  <c r="G57" i="2"/>
  <c r="K22" i="2"/>
  <c r="F23" i="2"/>
  <c r="F22" i="2" s="1"/>
  <c r="G22" i="2"/>
  <c r="G204" i="2"/>
  <c r="D30" i="10" s="1"/>
  <c r="F19" i="2"/>
  <c r="J17" i="2"/>
  <c r="H62" i="2"/>
  <c r="F62" i="2" s="1"/>
  <c r="H58" i="2"/>
  <c r="H57" i="2" s="1"/>
  <c r="I22" i="2"/>
  <c r="G206" i="2"/>
  <c r="G30" i="10" s="1"/>
  <c r="G6" i="10" s="1"/>
  <c r="F21" i="2"/>
  <c r="L17" i="2"/>
  <c r="H17" i="2"/>
  <c r="F63" i="2"/>
  <c r="H205" i="2"/>
  <c r="E31" i="10" s="1"/>
  <c r="E7" i="10" s="1"/>
  <c r="F28" i="1"/>
  <c r="F27" i="1" s="1"/>
  <c r="F26" i="1"/>
  <c r="L17" i="1"/>
  <c r="H118" i="1"/>
  <c r="H17" i="1"/>
  <c r="G120" i="1"/>
  <c r="F120" i="1" s="1"/>
  <c r="F20" i="1"/>
  <c r="G118" i="1"/>
  <c r="F18" i="1"/>
  <c r="G17" i="1"/>
  <c r="E33" i="7" l="1"/>
  <c r="D31" i="10"/>
  <c r="D34" i="7"/>
  <c r="E30" i="10"/>
  <c r="E6" i="10" s="1"/>
  <c r="D6" i="10"/>
  <c r="E36" i="10"/>
  <c r="F35" i="7"/>
  <c r="G12" i="10"/>
  <c r="G36" i="10"/>
  <c r="H117" i="1"/>
  <c r="L117" i="1"/>
  <c r="C35" i="10"/>
  <c r="E12" i="10"/>
  <c r="D36" i="10"/>
  <c r="C23" i="10"/>
  <c r="K117" i="1"/>
  <c r="G32" i="7"/>
  <c r="G31" i="7" s="1"/>
  <c r="F205" i="2"/>
  <c r="E34" i="7"/>
  <c r="F206" i="2"/>
  <c r="D35" i="7"/>
  <c r="F204" i="2"/>
  <c r="D33" i="7"/>
  <c r="L202" i="2"/>
  <c r="I31" i="7"/>
  <c r="F23" i="1"/>
  <c r="F22" i="1" s="1"/>
  <c r="I17" i="2"/>
  <c r="I203" i="2"/>
  <c r="F18" i="2"/>
  <c r="F17" i="2" s="1"/>
  <c r="G17" i="2"/>
  <c r="G203" i="2"/>
  <c r="F30" i="10" s="1"/>
  <c r="F6" i="10" s="1"/>
  <c r="K17" i="2"/>
  <c r="K203" i="2"/>
  <c r="F34" i="10" s="1"/>
  <c r="F58" i="2"/>
  <c r="H203" i="2"/>
  <c r="F57" i="2"/>
  <c r="G117" i="1"/>
  <c r="F121" i="1"/>
  <c r="F21" i="1"/>
  <c r="F17" i="1" s="1"/>
  <c r="F32" i="10" l="1"/>
  <c r="F8" i="10" s="1"/>
  <c r="E32" i="7"/>
  <c r="F31" i="10"/>
  <c r="F7" i="10" s="1"/>
  <c r="D7" i="10"/>
  <c r="C7" i="10" s="1"/>
  <c r="C31" i="10"/>
  <c r="C30" i="10"/>
  <c r="C6" i="10"/>
  <c r="D32" i="7"/>
  <c r="D31" i="7" s="1"/>
  <c r="C34" i="10"/>
  <c r="H32" i="7"/>
  <c r="H31" i="7" s="1"/>
  <c r="C22" i="10"/>
  <c r="F24" i="10"/>
  <c r="C24" i="10" s="1"/>
  <c r="C33" i="10"/>
  <c r="F32" i="7"/>
  <c r="F31" i="7" s="1"/>
  <c r="I202" i="2"/>
  <c r="H202" i="2"/>
  <c r="K202" i="2"/>
  <c r="F203" i="2"/>
  <c r="F202" i="2" s="1"/>
  <c r="G202" i="2"/>
  <c r="F118" i="1"/>
  <c r="F117" i="1" s="1"/>
  <c r="C32" i="10" l="1"/>
  <c r="F36" i="10"/>
  <c r="C36" i="10" s="1"/>
  <c r="E31" i="7"/>
  <c r="J28" i="4"/>
  <c r="J23" i="4"/>
  <c r="J43" i="4"/>
  <c r="L28" i="5" l="1"/>
  <c r="K28" i="5"/>
  <c r="J28" i="5"/>
  <c r="L33" i="5"/>
  <c r="K33" i="5"/>
  <c r="J33" i="5"/>
  <c r="K43" i="5"/>
  <c r="H23" i="3" l="1"/>
  <c r="H24" i="3" l="1"/>
  <c r="J39" i="9" l="1"/>
  <c r="K39" i="9"/>
  <c r="L39" i="9"/>
  <c r="J40" i="9"/>
  <c r="K40" i="9"/>
  <c r="L40" i="9"/>
  <c r="J41" i="9"/>
  <c r="K41" i="9"/>
  <c r="L41" i="9"/>
  <c r="J42" i="9"/>
  <c r="K42" i="9"/>
  <c r="L42" i="9"/>
  <c r="I40" i="9"/>
  <c r="I41" i="9"/>
  <c r="I42" i="9"/>
  <c r="I43" i="4" l="1"/>
  <c r="I39" i="9" l="1"/>
  <c r="H89" i="3" l="1"/>
  <c r="H84" i="3"/>
  <c r="H59" i="4" l="1"/>
  <c r="H29" i="9" l="1"/>
  <c r="H34" i="9"/>
  <c r="H22" i="3" l="1"/>
  <c r="L73" i="3"/>
  <c r="K73" i="3"/>
  <c r="K72" i="3" s="1"/>
  <c r="J73" i="3"/>
  <c r="J72" i="3" s="1"/>
  <c r="I73" i="3"/>
  <c r="I72" i="3" s="1"/>
  <c r="L72" i="3"/>
  <c r="H72" i="3"/>
  <c r="I67" i="3"/>
  <c r="L67" i="3"/>
  <c r="K67" i="3"/>
  <c r="J67" i="3"/>
  <c r="H67" i="3"/>
  <c r="L66" i="3"/>
  <c r="K66" i="3"/>
  <c r="J66" i="3"/>
  <c r="I66" i="3"/>
  <c r="H66" i="3"/>
  <c r="L65" i="3"/>
  <c r="K65" i="3"/>
  <c r="J65" i="3"/>
  <c r="I65" i="3"/>
  <c r="H65" i="3"/>
  <c r="L64" i="3"/>
  <c r="K64" i="3"/>
  <c r="J64" i="3"/>
  <c r="I64" i="3"/>
  <c r="H64" i="3"/>
  <c r="H63" i="3"/>
  <c r="L57" i="3"/>
  <c r="K53" i="3"/>
  <c r="K52" i="3" s="1"/>
  <c r="J57" i="3"/>
  <c r="I57" i="3"/>
  <c r="H57" i="3"/>
  <c r="K57" i="3"/>
  <c r="J53" i="3"/>
  <c r="J52" i="3" s="1"/>
  <c r="I53" i="3"/>
  <c r="I52" i="3" s="1"/>
  <c r="L47" i="3"/>
  <c r="K33" i="3"/>
  <c r="J47" i="3"/>
  <c r="H48" i="3"/>
  <c r="H47" i="3" s="1"/>
  <c r="K47" i="3"/>
  <c r="I47" i="3"/>
  <c r="L42" i="3"/>
  <c r="J42" i="3"/>
  <c r="H43" i="3"/>
  <c r="H42" i="3" s="1"/>
  <c r="K42" i="3"/>
  <c r="L37" i="3"/>
  <c r="J37" i="3"/>
  <c r="I37" i="3"/>
  <c r="H38" i="3"/>
  <c r="H37" i="3" s="1"/>
  <c r="K37" i="3"/>
  <c r="L36" i="3"/>
  <c r="K36" i="3"/>
  <c r="J36" i="3"/>
  <c r="I36" i="3"/>
  <c r="H36" i="3"/>
  <c r="L35" i="3"/>
  <c r="K35" i="3"/>
  <c r="J35" i="3"/>
  <c r="I35" i="3"/>
  <c r="H35" i="3"/>
  <c r="L34" i="3"/>
  <c r="K34" i="3"/>
  <c r="J34" i="3"/>
  <c r="I34" i="3"/>
  <c r="H34" i="3"/>
  <c r="L19" i="3"/>
  <c r="K19" i="3"/>
  <c r="I19" i="3"/>
  <c r="H19" i="3"/>
  <c r="K18" i="3"/>
  <c r="J22" i="3"/>
  <c r="I18" i="3"/>
  <c r="L21" i="3"/>
  <c r="K21" i="3"/>
  <c r="I21" i="3"/>
  <c r="H21" i="3"/>
  <c r="L20" i="3"/>
  <c r="K20" i="3"/>
  <c r="I20" i="3"/>
  <c r="H20" i="3"/>
  <c r="F97" i="3"/>
  <c r="F96" i="3"/>
  <c r="F95" i="3"/>
  <c r="F94" i="3"/>
  <c r="L93" i="3"/>
  <c r="K93" i="3"/>
  <c r="J93" i="3"/>
  <c r="I93" i="3"/>
  <c r="H93" i="3"/>
  <c r="G93" i="3"/>
  <c r="F92" i="3"/>
  <c r="F91" i="3"/>
  <c r="F90" i="3"/>
  <c r="F89" i="3"/>
  <c r="L88" i="3"/>
  <c r="K88" i="3"/>
  <c r="J88" i="3"/>
  <c r="I88" i="3"/>
  <c r="H88" i="3"/>
  <c r="G88" i="3"/>
  <c r="F87" i="3"/>
  <c r="F86" i="3"/>
  <c r="F85" i="3"/>
  <c r="F84" i="3"/>
  <c r="L83" i="3"/>
  <c r="K83" i="3"/>
  <c r="J83" i="3"/>
  <c r="I83" i="3"/>
  <c r="H83" i="3"/>
  <c r="G83" i="3"/>
  <c r="L82" i="3"/>
  <c r="K82" i="3"/>
  <c r="J82" i="3"/>
  <c r="I82" i="3"/>
  <c r="H82" i="3"/>
  <c r="G82" i="3"/>
  <c r="L81" i="3"/>
  <c r="K81" i="3"/>
  <c r="J81" i="3"/>
  <c r="I81" i="3"/>
  <c r="H81" i="3"/>
  <c r="G81" i="3"/>
  <c r="L80" i="3"/>
  <c r="L100" i="3" s="1"/>
  <c r="K80" i="3"/>
  <c r="J80" i="3"/>
  <c r="I80" i="3"/>
  <c r="H80" i="3"/>
  <c r="G80" i="3"/>
  <c r="L79" i="3"/>
  <c r="K79" i="3"/>
  <c r="I79" i="3"/>
  <c r="H79" i="3"/>
  <c r="G79" i="3"/>
  <c r="H101" i="3" l="1"/>
  <c r="L101" i="3"/>
  <c r="K102" i="3"/>
  <c r="I101" i="3"/>
  <c r="F88" i="3"/>
  <c r="H102" i="3"/>
  <c r="H100" i="3"/>
  <c r="J101" i="3"/>
  <c r="I102" i="3"/>
  <c r="F81" i="3"/>
  <c r="L102" i="3"/>
  <c r="K100" i="3"/>
  <c r="K101" i="3"/>
  <c r="J102" i="3"/>
  <c r="I100" i="3"/>
  <c r="J100" i="3"/>
  <c r="K78" i="3"/>
  <c r="H78" i="3"/>
  <c r="L78" i="3"/>
  <c r="J78" i="3"/>
  <c r="L63" i="3"/>
  <c r="L62" i="3" s="1"/>
  <c r="K32" i="3"/>
  <c r="I33" i="3"/>
  <c r="I32" i="3" s="1"/>
  <c r="J63" i="3"/>
  <c r="J62" i="3" s="1"/>
  <c r="G78" i="3"/>
  <c r="I42" i="3"/>
  <c r="I63" i="3"/>
  <c r="I62" i="3" s="1"/>
  <c r="F82" i="3"/>
  <c r="F83" i="3"/>
  <c r="F93" i="3"/>
  <c r="I22" i="3"/>
  <c r="I78" i="3"/>
  <c r="H62" i="3"/>
  <c r="L22" i="3"/>
  <c r="K63" i="3"/>
  <c r="K62" i="3" s="1"/>
  <c r="F80" i="3"/>
  <c r="F79" i="3"/>
  <c r="I17" i="3"/>
  <c r="K17" i="3"/>
  <c r="J33" i="3"/>
  <c r="J32" i="3" s="1"/>
  <c r="K22" i="3"/>
  <c r="H53" i="3"/>
  <c r="H52" i="3" s="1"/>
  <c r="L53" i="3"/>
  <c r="L52" i="3" s="1"/>
  <c r="H18" i="3"/>
  <c r="H99" i="3" s="1"/>
  <c r="L18" i="3"/>
  <c r="H33" i="3"/>
  <c r="H32" i="3" s="1"/>
  <c r="L33" i="3"/>
  <c r="L32" i="3" s="1"/>
  <c r="I91" i="4"/>
  <c r="J91" i="4"/>
  <c r="K91" i="4"/>
  <c r="L91" i="4"/>
  <c r="D48" i="10" l="1"/>
  <c r="I99" i="3"/>
  <c r="J99" i="3"/>
  <c r="F45" i="10" s="1"/>
  <c r="L99" i="3"/>
  <c r="K99" i="3"/>
  <c r="F78" i="3"/>
  <c r="H17" i="3"/>
  <c r="H98" i="3"/>
  <c r="L17" i="3"/>
  <c r="J17" i="3"/>
  <c r="H43" i="4"/>
  <c r="I98" i="3" l="1"/>
  <c r="K98" i="3"/>
  <c r="L98" i="3"/>
  <c r="J98" i="3"/>
  <c r="C45" i="10"/>
  <c r="F86" i="4"/>
  <c r="F85" i="4"/>
  <c r="F84" i="4"/>
  <c r="F83" i="4"/>
  <c r="L82" i="4"/>
  <c r="K82" i="4"/>
  <c r="J82" i="4"/>
  <c r="I82" i="4"/>
  <c r="H82" i="4"/>
  <c r="G82" i="4"/>
  <c r="F81" i="4"/>
  <c r="F80" i="4"/>
  <c r="F79" i="4"/>
  <c r="F78" i="4"/>
  <c r="L77" i="4"/>
  <c r="K77" i="4"/>
  <c r="J77" i="4"/>
  <c r="I77" i="4"/>
  <c r="H77" i="4"/>
  <c r="G77" i="4"/>
  <c r="F48" i="10" l="1"/>
  <c r="C48" i="10" s="1"/>
  <c r="C8" i="10"/>
  <c r="C44" i="10"/>
  <c r="C47" i="10"/>
  <c r="C46" i="10"/>
  <c r="F77" i="4"/>
  <c r="F82" i="4"/>
  <c r="H23" i="4" l="1"/>
  <c r="H46" i="5"/>
  <c r="H40" i="9" l="1"/>
  <c r="H41" i="9"/>
  <c r="H42" i="9"/>
  <c r="H39" i="9"/>
  <c r="F52" i="9"/>
  <c r="F51" i="9"/>
  <c r="F50" i="9"/>
  <c r="F49" i="9"/>
  <c r="L48" i="9"/>
  <c r="K48" i="9"/>
  <c r="J48" i="9"/>
  <c r="I48" i="9"/>
  <c r="H48" i="9"/>
  <c r="G48" i="9"/>
  <c r="F47" i="9"/>
  <c r="F46" i="9"/>
  <c r="F45" i="9"/>
  <c r="F44" i="9"/>
  <c r="L43" i="9"/>
  <c r="K43" i="9"/>
  <c r="J43" i="9"/>
  <c r="I43" i="9"/>
  <c r="H43" i="9"/>
  <c r="G43" i="9"/>
  <c r="F43" i="9" l="1"/>
  <c r="F48" i="9"/>
  <c r="G43" i="3" l="1"/>
  <c r="F3" i="5" l="1"/>
  <c r="G3" i="9"/>
  <c r="G3" i="4"/>
  <c r="G3" i="3"/>
  <c r="F71" i="4" l="1"/>
  <c r="F70" i="4"/>
  <c r="F69" i="4"/>
  <c r="F68" i="4"/>
  <c r="L67" i="4"/>
  <c r="K67" i="4"/>
  <c r="J67" i="4"/>
  <c r="I67" i="4"/>
  <c r="H67" i="4"/>
  <c r="G67" i="4"/>
  <c r="F67" i="4" l="1"/>
  <c r="F76" i="4" l="1"/>
  <c r="F75" i="4"/>
  <c r="F74" i="4"/>
  <c r="F73" i="4"/>
  <c r="L72" i="4"/>
  <c r="K72" i="4"/>
  <c r="J72" i="4"/>
  <c r="I72" i="4"/>
  <c r="H72" i="4"/>
  <c r="G72" i="4"/>
  <c r="F72" i="4" l="1"/>
  <c r="G34" i="3" l="1"/>
  <c r="G35" i="3"/>
  <c r="G36" i="3"/>
  <c r="G20" i="3"/>
  <c r="G21" i="3"/>
  <c r="H34" i="4" l="1"/>
  <c r="I34" i="4"/>
  <c r="J34" i="4"/>
  <c r="K34" i="4"/>
  <c r="L34" i="4"/>
  <c r="H35" i="4"/>
  <c r="I35" i="4"/>
  <c r="J35" i="4"/>
  <c r="K35" i="4"/>
  <c r="L35" i="4"/>
  <c r="G33" i="4"/>
  <c r="G34" i="4"/>
  <c r="G35" i="4"/>
  <c r="K33" i="4" l="1"/>
  <c r="L33" i="4"/>
  <c r="J33" i="4"/>
  <c r="I33" i="4"/>
  <c r="H33" i="4" l="1"/>
  <c r="H28" i="4" s="1"/>
  <c r="G18" i="3" l="1"/>
  <c r="G19" i="3"/>
  <c r="K18" i="9" l="1"/>
  <c r="L18" i="9"/>
  <c r="K24" i="9"/>
  <c r="L24" i="9"/>
  <c r="K25" i="9"/>
  <c r="L25" i="9"/>
  <c r="K26" i="9"/>
  <c r="L26" i="9"/>
  <c r="K27" i="9"/>
  <c r="L27" i="9"/>
  <c r="K28" i="9"/>
  <c r="L28" i="9"/>
  <c r="K33" i="9"/>
  <c r="L33" i="9"/>
  <c r="K38" i="9"/>
  <c r="L38" i="9"/>
  <c r="K23" i="5"/>
  <c r="K18" i="5" s="1"/>
  <c r="L23" i="5"/>
  <c r="L18" i="5" s="1"/>
  <c r="K24" i="5"/>
  <c r="K19" i="5" s="1"/>
  <c r="L24" i="5"/>
  <c r="L19" i="5" s="1"/>
  <c r="K25" i="5"/>
  <c r="K20" i="5" s="1"/>
  <c r="L25" i="5"/>
  <c r="L20" i="5" s="1"/>
  <c r="K26" i="5"/>
  <c r="K21" i="5" s="1"/>
  <c r="L26" i="5"/>
  <c r="L21" i="5" s="1"/>
  <c r="K27" i="5"/>
  <c r="L27" i="5"/>
  <c r="K32" i="5"/>
  <c r="L32" i="5"/>
  <c r="K37" i="5"/>
  <c r="L37" i="5"/>
  <c r="K42" i="5"/>
  <c r="L42" i="5"/>
  <c r="K53" i="5"/>
  <c r="K48" i="5" s="1"/>
  <c r="L53" i="5"/>
  <c r="L48" i="5" s="1"/>
  <c r="K54" i="5"/>
  <c r="K49" i="5" s="1"/>
  <c r="L54" i="5"/>
  <c r="L49" i="5" s="1"/>
  <c r="K55" i="5"/>
  <c r="K50" i="5" s="1"/>
  <c r="L55" i="5"/>
  <c r="L50" i="5" s="1"/>
  <c r="K56" i="5"/>
  <c r="K51" i="5" s="1"/>
  <c r="L56" i="5"/>
  <c r="L51" i="5" s="1"/>
  <c r="K57" i="5"/>
  <c r="L57" i="5"/>
  <c r="K22" i="4"/>
  <c r="L22" i="4"/>
  <c r="K19" i="4"/>
  <c r="K89" i="4" s="1"/>
  <c r="L19" i="4"/>
  <c r="L89" i="4" s="1"/>
  <c r="K20" i="4"/>
  <c r="K90" i="4" s="1"/>
  <c r="L20" i="4"/>
  <c r="L90" i="4" s="1"/>
  <c r="K37" i="4"/>
  <c r="L37" i="4"/>
  <c r="K42" i="4"/>
  <c r="L42" i="4"/>
  <c r="K47" i="4"/>
  <c r="L47" i="4"/>
  <c r="K52" i="4"/>
  <c r="L52" i="4"/>
  <c r="K57" i="4"/>
  <c r="L57" i="4"/>
  <c r="K62" i="4"/>
  <c r="L62" i="4"/>
  <c r="L32" i="4" l="1"/>
  <c r="K32" i="4"/>
  <c r="L27" i="4"/>
  <c r="K27" i="4"/>
  <c r="L22" i="5"/>
  <c r="L47" i="5"/>
  <c r="K47" i="5"/>
  <c r="L23" i="9"/>
  <c r="K23" i="9"/>
  <c r="L52" i="5"/>
  <c r="K52" i="5"/>
  <c r="K22" i="5"/>
  <c r="K17" i="5" l="1"/>
  <c r="K18" i="4"/>
  <c r="K88" i="4" s="1"/>
  <c r="L18" i="4"/>
  <c r="L88" i="4" s="1"/>
  <c r="L17" i="5"/>
  <c r="G64" i="3"/>
  <c r="G65" i="3"/>
  <c r="G66" i="3"/>
  <c r="G63" i="3"/>
  <c r="F71" i="3"/>
  <c r="F70" i="3"/>
  <c r="F69" i="3"/>
  <c r="F68" i="3"/>
  <c r="G67" i="3"/>
  <c r="F76" i="3"/>
  <c r="F75" i="3"/>
  <c r="F74" i="3"/>
  <c r="F73" i="3"/>
  <c r="G72" i="3"/>
  <c r="C59" i="10" l="1"/>
  <c r="C58" i="10"/>
  <c r="L17" i="4"/>
  <c r="K17" i="4"/>
  <c r="F67" i="3"/>
  <c r="F72" i="3"/>
  <c r="H25" i="9" l="1"/>
  <c r="H24" i="9"/>
  <c r="H54" i="9" s="1"/>
  <c r="I18" i="9" l="1"/>
  <c r="J18" i="9"/>
  <c r="I24" i="9"/>
  <c r="J24" i="9"/>
  <c r="I25" i="9"/>
  <c r="J25" i="9"/>
  <c r="I26" i="9"/>
  <c r="J26" i="9"/>
  <c r="I27" i="9"/>
  <c r="J27" i="9"/>
  <c r="I28" i="9"/>
  <c r="J28" i="9"/>
  <c r="I33" i="9"/>
  <c r="J33" i="9"/>
  <c r="I38" i="9"/>
  <c r="J38" i="9"/>
  <c r="I23" i="5"/>
  <c r="I18" i="5" s="1"/>
  <c r="J23" i="5"/>
  <c r="J18" i="5" s="1"/>
  <c r="I24" i="5"/>
  <c r="I19" i="5" s="1"/>
  <c r="J24" i="5"/>
  <c r="J19" i="5" s="1"/>
  <c r="I25" i="5"/>
  <c r="I20" i="5" s="1"/>
  <c r="J25" i="5"/>
  <c r="J20" i="5" s="1"/>
  <c r="I26" i="5"/>
  <c r="I21" i="5" s="1"/>
  <c r="J26" i="5"/>
  <c r="J21" i="5" s="1"/>
  <c r="I27" i="5"/>
  <c r="J27" i="5"/>
  <c r="I32" i="5"/>
  <c r="J32" i="5"/>
  <c r="I37" i="5"/>
  <c r="J37" i="5"/>
  <c r="I42" i="5"/>
  <c r="J42" i="5"/>
  <c r="I48" i="5"/>
  <c r="J53" i="5"/>
  <c r="J48" i="5" s="1"/>
  <c r="I54" i="5"/>
  <c r="I49" i="5" s="1"/>
  <c r="J54" i="5"/>
  <c r="J49" i="5" s="1"/>
  <c r="I55" i="5"/>
  <c r="I50" i="5" s="1"/>
  <c r="J55" i="5"/>
  <c r="J50" i="5" s="1"/>
  <c r="I56" i="5"/>
  <c r="I51" i="5" s="1"/>
  <c r="J56" i="5"/>
  <c r="J51" i="5" s="1"/>
  <c r="I57" i="5"/>
  <c r="J57" i="5"/>
  <c r="I22" i="4"/>
  <c r="J22" i="4"/>
  <c r="I19" i="4"/>
  <c r="I89" i="4" s="1"/>
  <c r="J19" i="4"/>
  <c r="J89" i="4" s="1"/>
  <c r="D57" i="10" s="1"/>
  <c r="D9" i="10" s="1"/>
  <c r="I20" i="4"/>
  <c r="I90" i="4" s="1"/>
  <c r="J20" i="4"/>
  <c r="J90" i="4" s="1"/>
  <c r="I37" i="4"/>
  <c r="J37" i="4"/>
  <c r="I42" i="4"/>
  <c r="J42" i="4"/>
  <c r="I47" i="4"/>
  <c r="J47" i="4"/>
  <c r="I52" i="4"/>
  <c r="J52" i="4"/>
  <c r="I57" i="4"/>
  <c r="J57" i="4"/>
  <c r="I62" i="4"/>
  <c r="J62" i="4"/>
  <c r="H38" i="9"/>
  <c r="H33" i="9"/>
  <c r="H28" i="9"/>
  <c r="H27" i="9"/>
  <c r="H26" i="9"/>
  <c r="H18" i="9"/>
  <c r="H57" i="5"/>
  <c r="H56" i="5"/>
  <c r="H55" i="5"/>
  <c r="H50" i="5" s="1"/>
  <c r="H54" i="5"/>
  <c r="H49" i="5" s="1"/>
  <c r="H53" i="5"/>
  <c r="H48" i="5" s="1"/>
  <c r="H51" i="5"/>
  <c r="H42" i="5"/>
  <c r="H37" i="5"/>
  <c r="H32" i="5"/>
  <c r="H27" i="5"/>
  <c r="H26" i="5"/>
  <c r="H21" i="5" s="1"/>
  <c r="H25" i="5"/>
  <c r="H20" i="5" s="1"/>
  <c r="H24" i="5"/>
  <c r="H19" i="5" s="1"/>
  <c r="H23" i="5"/>
  <c r="H18" i="5" s="1"/>
  <c r="H62" i="4"/>
  <c r="H57" i="4"/>
  <c r="H52" i="4"/>
  <c r="H47" i="4"/>
  <c r="H42" i="4"/>
  <c r="H37" i="4"/>
  <c r="H20" i="4"/>
  <c r="H90" i="4" s="1"/>
  <c r="H19" i="4"/>
  <c r="H89" i="4" s="1"/>
  <c r="H22" i="4"/>
  <c r="H21" i="4"/>
  <c r="H91" i="4" s="1"/>
  <c r="G57" i="5"/>
  <c r="G56" i="5"/>
  <c r="G55" i="5"/>
  <c r="G54" i="5"/>
  <c r="G49" i="5" s="1"/>
  <c r="G53" i="5"/>
  <c r="G48" i="5" s="1"/>
  <c r="G51" i="5"/>
  <c r="G50" i="5"/>
  <c r="G42" i="5"/>
  <c r="G37" i="5"/>
  <c r="G32" i="5"/>
  <c r="G27" i="5"/>
  <c r="G26" i="5"/>
  <c r="G21" i="5" s="1"/>
  <c r="G25" i="5"/>
  <c r="G20" i="5" s="1"/>
  <c r="G24" i="5"/>
  <c r="G19" i="5" s="1"/>
  <c r="G23" i="5"/>
  <c r="G18" i="5" s="1"/>
  <c r="G62" i="4"/>
  <c r="G57" i="4"/>
  <c r="G52" i="4"/>
  <c r="G47" i="4"/>
  <c r="G42" i="4"/>
  <c r="G37" i="4"/>
  <c r="G20" i="4"/>
  <c r="G90" i="4" s="1"/>
  <c r="G19" i="4"/>
  <c r="G89" i="4" s="1"/>
  <c r="G18" i="4"/>
  <c r="G88" i="4" s="1"/>
  <c r="G27" i="4"/>
  <c r="G22" i="4"/>
  <c r="G21" i="4"/>
  <c r="G91" i="4" s="1"/>
  <c r="G57" i="3"/>
  <c r="G53" i="3"/>
  <c r="G52" i="3" s="1"/>
  <c r="G47" i="3"/>
  <c r="G37" i="3"/>
  <c r="G22" i="3"/>
  <c r="G102" i="3"/>
  <c r="G101" i="3"/>
  <c r="D60" i="10" l="1"/>
  <c r="D12" i="10"/>
  <c r="C81" i="10"/>
  <c r="F84" i="10"/>
  <c r="C84" i="10" s="1"/>
  <c r="H32" i="4"/>
  <c r="G42" i="3"/>
  <c r="G33" i="3"/>
  <c r="G32" i="4"/>
  <c r="H17" i="5"/>
  <c r="H23" i="9"/>
  <c r="J32" i="4"/>
  <c r="I32" i="4"/>
  <c r="I27" i="4"/>
  <c r="H27" i="4"/>
  <c r="J27" i="4"/>
  <c r="G17" i="4"/>
  <c r="J17" i="5"/>
  <c r="G22" i="5"/>
  <c r="J23" i="9"/>
  <c r="I23" i="9"/>
  <c r="J47" i="5"/>
  <c r="I47" i="5"/>
  <c r="J52" i="5"/>
  <c r="J22" i="5"/>
  <c r="I52" i="5"/>
  <c r="I22" i="5"/>
  <c r="H47" i="5"/>
  <c r="H22" i="5"/>
  <c r="H52" i="5"/>
  <c r="G47" i="5"/>
  <c r="G17" i="5"/>
  <c r="G52" i="5"/>
  <c r="G32" i="3" l="1"/>
  <c r="G99" i="3"/>
  <c r="I17" i="5"/>
  <c r="H18" i="4"/>
  <c r="H88" i="4" s="1"/>
  <c r="J18" i="4"/>
  <c r="I18" i="4"/>
  <c r="I88" i="4" s="1"/>
  <c r="G17" i="3"/>
  <c r="G100" i="3"/>
  <c r="J88" i="4" l="1"/>
  <c r="F57" i="10" s="1"/>
  <c r="I17" i="4"/>
  <c r="J17" i="4"/>
  <c r="H17" i="4"/>
  <c r="F60" i="10" l="1"/>
  <c r="C60" i="10" s="1"/>
  <c r="C57" i="10"/>
  <c r="G24" i="9"/>
  <c r="G25" i="9"/>
  <c r="G26" i="9"/>
  <c r="G27" i="9"/>
  <c r="F37" i="9" l="1"/>
  <c r="F36" i="9"/>
  <c r="F35" i="9"/>
  <c r="F34" i="9"/>
  <c r="G33" i="9"/>
  <c r="F33" i="9" s="1"/>
  <c r="F32" i="9"/>
  <c r="F31" i="9"/>
  <c r="F30" i="9"/>
  <c r="F29" i="9"/>
  <c r="G28" i="9"/>
  <c r="F28" i="9" l="1"/>
  <c r="G54" i="9"/>
  <c r="I54" i="9"/>
  <c r="J54" i="9"/>
  <c r="F93" i="10" s="1"/>
  <c r="F9" i="10" s="1"/>
  <c r="K54" i="9"/>
  <c r="L54" i="9"/>
  <c r="C95" i="10" s="1"/>
  <c r="J57" i="9"/>
  <c r="J56" i="9"/>
  <c r="J55" i="9"/>
  <c r="H55" i="9"/>
  <c r="I55" i="9"/>
  <c r="K55" i="9"/>
  <c r="L55" i="9"/>
  <c r="H56" i="9"/>
  <c r="I56" i="9"/>
  <c r="K56" i="9"/>
  <c r="L56" i="9"/>
  <c r="H57" i="9"/>
  <c r="I57" i="9"/>
  <c r="K57" i="9"/>
  <c r="L57" i="9"/>
  <c r="G55" i="9"/>
  <c r="G56" i="9"/>
  <c r="G57" i="9"/>
  <c r="C94" i="10" l="1"/>
  <c r="F94" i="10"/>
  <c r="F10" i="10" s="1"/>
  <c r="C93" i="10"/>
  <c r="F96" i="10"/>
  <c r="C96" i="10" s="1"/>
  <c r="D62" i="7"/>
  <c r="F63" i="7"/>
  <c r="I62" i="7"/>
  <c r="F62" i="7"/>
  <c r="H62" i="7"/>
  <c r="H65" i="7"/>
  <c r="D65" i="7"/>
  <c r="E63" i="7"/>
  <c r="E62" i="7"/>
  <c r="E64" i="7"/>
  <c r="G65" i="7"/>
  <c r="G64" i="7"/>
  <c r="G63" i="7"/>
  <c r="G62" i="7"/>
  <c r="I64" i="7"/>
  <c r="D63" i="7"/>
  <c r="F65" i="7"/>
  <c r="H63" i="7"/>
  <c r="D64" i="7"/>
  <c r="H64" i="7"/>
  <c r="I63" i="7"/>
  <c r="I65" i="7"/>
  <c r="E65" i="7"/>
  <c r="F64" i="7"/>
  <c r="J53" i="9"/>
  <c r="F61" i="7" l="1"/>
  <c r="C62" i="7"/>
  <c r="E61" i="7"/>
  <c r="G61" i="7"/>
  <c r="C63" i="7"/>
  <c r="I61" i="7"/>
  <c r="D61" i="7"/>
  <c r="H61" i="7"/>
  <c r="C65" i="7"/>
  <c r="C64" i="7"/>
  <c r="C61" i="7" l="1"/>
  <c r="F66" i="3" l="1"/>
  <c r="F65" i="3"/>
  <c r="F64" i="3"/>
  <c r="F42" i="9" l="1"/>
  <c r="F41" i="9"/>
  <c r="F40" i="9"/>
  <c r="F39" i="9"/>
  <c r="G38" i="9"/>
  <c r="F27" i="9"/>
  <c r="F26" i="9"/>
  <c r="F25" i="9"/>
  <c r="F24" i="9"/>
  <c r="G23" i="9"/>
  <c r="F20" i="9"/>
  <c r="F38" i="9" l="1"/>
  <c r="F23" i="9"/>
  <c r="K53" i="9"/>
  <c r="F56" i="9"/>
  <c r="F55" i="9"/>
  <c r="F57" i="9"/>
  <c r="I53" i="9"/>
  <c r="F22" i="9"/>
  <c r="G18" i="9"/>
  <c r="F21" i="9"/>
  <c r="L53" i="9" l="1"/>
  <c r="H53" i="9"/>
  <c r="G53" i="9"/>
  <c r="F19" i="9"/>
  <c r="F18" i="9" l="1"/>
  <c r="F53" i="9"/>
  <c r="F54" i="9"/>
  <c r="F51" i="3" l="1"/>
  <c r="F50" i="3"/>
  <c r="F49" i="3"/>
  <c r="F46" i="3"/>
  <c r="F45" i="3"/>
  <c r="F44" i="3"/>
  <c r="F41" i="3"/>
  <c r="F40" i="3"/>
  <c r="F39" i="3"/>
  <c r="F43" i="5" l="1"/>
  <c r="F44" i="5"/>
  <c r="F45" i="5"/>
  <c r="F46" i="5"/>
  <c r="F58" i="5"/>
  <c r="F59" i="5"/>
  <c r="F60" i="5"/>
  <c r="F61" i="5"/>
  <c r="F42" i="5" l="1"/>
  <c r="F57" i="5"/>
  <c r="F51" i="5"/>
  <c r="F50" i="5"/>
  <c r="F49" i="5"/>
  <c r="F48" i="5"/>
  <c r="F55" i="5"/>
  <c r="F53" i="5"/>
  <c r="F56" i="5"/>
  <c r="F54" i="5"/>
  <c r="F47" i="5" l="1"/>
  <c r="F52" i="5"/>
  <c r="I66" i="5" l="1"/>
  <c r="I65" i="5"/>
  <c r="I64" i="5"/>
  <c r="J63" i="5"/>
  <c r="J64" i="5"/>
  <c r="J65" i="5"/>
  <c r="J66" i="5"/>
  <c r="C69" i="10" l="1"/>
  <c r="I87" i="4"/>
  <c r="J62" i="5"/>
  <c r="C9" i="10" l="1"/>
  <c r="I63" i="5"/>
  <c r="I62" i="5" s="1"/>
  <c r="F59" i="7"/>
  <c r="F58" i="7"/>
  <c r="F57" i="7"/>
  <c r="F56" i="7"/>
  <c r="G50" i="7"/>
  <c r="F51" i="7"/>
  <c r="G51" i="7"/>
  <c r="F52" i="7"/>
  <c r="G52" i="7"/>
  <c r="F53" i="7"/>
  <c r="G53" i="7"/>
  <c r="F44" i="7"/>
  <c r="F45" i="7"/>
  <c r="F46" i="7"/>
  <c r="F47" i="7"/>
  <c r="F38" i="7"/>
  <c r="F39" i="7"/>
  <c r="F40" i="7"/>
  <c r="F41" i="7"/>
  <c r="K63" i="5"/>
  <c r="L63" i="5"/>
  <c r="C71" i="10" l="1"/>
  <c r="C11" i="10"/>
  <c r="C70" i="10"/>
  <c r="F72" i="10"/>
  <c r="C72" i="10" s="1"/>
  <c r="F50" i="7"/>
  <c r="C10" i="10" l="1"/>
  <c r="F12" i="10"/>
  <c r="C12" i="10" s="1"/>
  <c r="D47" i="7"/>
  <c r="D46" i="7"/>
  <c r="D45" i="7"/>
  <c r="F66" i="4"/>
  <c r="F65" i="4"/>
  <c r="F64" i="4"/>
  <c r="F63" i="4"/>
  <c r="F61" i="4"/>
  <c r="F60" i="4"/>
  <c r="F59" i="4"/>
  <c r="F58" i="4"/>
  <c r="F56" i="4"/>
  <c r="F55" i="4"/>
  <c r="F54" i="4"/>
  <c r="F53" i="4"/>
  <c r="F51" i="4"/>
  <c r="F50" i="4"/>
  <c r="F49" i="4"/>
  <c r="F48" i="4"/>
  <c r="F46" i="4"/>
  <c r="F45" i="4"/>
  <c r="F44" i="4"/>
  <c r="F43" i="4"/>
  <c r="F41" i="4"/>
  <c r="F40" i="4"/>
  <c r="F39" i="4"/>
  <c r="F38" i="4"/>
  <c r="F36" i="4"/>
  <c r="F31" i="4"/>
  <c r="F30" i="4"/>
  <c r="F29" i="4"/>
  <c r="F28" i="4"/>
  <c r="F26" i="4"/>
  <c r="F25" i="4"/>
  <c r="F24" i="4"/>
  <c r="F23" i="4"/>
  <c r="F61" i="3"/>
  <c r="F60" i="3"/>
  <c r="F59" i="3"/>
  <c r="F58" i="3"/>
  <c r="F56" i="3"/>
  <c r="F55" i="3"/>
  <c r="F54" i="3"/>
  <c r="F48" i="3"/>
  <c r="F47" i="3" s="1"/>
  <c r="F43" i="3"/>
  <c r="F42" i="3" s="1"/>
  <c r="F38" i="3"/>
  <c r="F37" i="3" s="1"/>
  <c r="F36" i="3"/>
  <c r="F35" i="3"/>
  <c r="F34" i="3"/>
  <c r="F26" i="3"/>
  <c r="F25" i="3"/>
  <c r="F24" i="3"/>
  <c r="F23" i="3"/>
  <c r="I41" i="7"/>
  <c r="H41" i="7"/>
  <c r="G41" i="7"/>
  <c r="E41" i="7"/>
  <c r="I40" i="7"/>
  <c r="H40" i="7"/>
  <c r="G40" i="7"/>
  <c r="E40" i="7"/>
  <c r="D40" i="7"/>
  <c r="I39" i="7"/>
  <c r="H39" i="7"/>
  <c r="G39" i="7"/>
  <c r="E39" i="7"/>
  <c r="D39" i="7"/>
  <c r="D44" i="7" l="1"/>
  <c r="G47" i="7"/>
  <c r="G44" i="7"/>
  <c r="G46" i="7"/>
  <c r="H45" i="7"/>
  <c r="H46" i="7"/>
  <c r="I45" i="7"/>
  <c r="F57" i="4"/>
  <c r="G45" i="7"/>
  <c r="F37" i="4"/>
  <c r="F53" i="3"/>
  <c r="F52" i="3" s="1"/>
  <c r="H87" i="4"/>
  <c r="F35" i="4"/>
  <c r="F102" i="3"/>
  <c r="D41" i="7"/>
  <c r="F57" i="3"/>
  <c r="F52" i="4"/>
  <c r="F22" i="4"/>
  <c r="F27" i="4"/>
  <c r="F42" i="4"/>
  <c r="F19" i="4"/>
  <c r="F21" i="4"/>
  <c r="F62" i="4"/>
  <c r="F33" i="3"/>
  <c r="F32" i="3" s="1"/>
  <c r="F21" i="3"/>
  <c r="F34" i="4"/>
  <c r="F47" i="4"/>
  <c r="G87" i="4"/>
  <c r="F101" i="3"/>
  <c r="F22" i="3"/>
  <c r="F20" i="3"/>
  <c r="F20" i="4"/>
  <c r="I47" i="7" l="1"/>
  <c r="L87" i="4"/>
  <c r="K87" i="4"/>
  <c r="E38" i="7"/>
  <c r="D38" i="7"/>
  <c r="G38" i="7"/>
  <c r="F90" i="4"/>
  <c r="F33" i="4"/>
  <c r="F32" i="4" s="1"/>
  <c r="H44" i="7"/>
  <c r="E46" i="7"/>
  <c r="I46" i="7"/>
  <c r="H47" i="7"/>
  <c r="I44" i="7"/>
  <c r="F18" i="3"/>
  <c r="J87" i="4"/>
  <c r="F18" i="4"/>
  <c r="F17" i="4" s="1"/>
  <c r="G98" i="3"/>
  <c r="I58" i="7"/>
  <c r="F89" i="4"/>
  <c r="E45" i="7"/>
  <c r="H38" i="7"/>
  <c r="I57" i="7"/>
  <c r="I59" i="7"/>
  <c r="F91" i="4"/>
  <c r="E47" i="7"/>
  <c r="I38" i="7"/>
  <c r="F99" i="3"/>
  <c r="F100" i="3"/>
  <c r="F19" i="3"/>
  <c r="G62" i="3" l="1"/>
  <c r="F63" i="3"/>
  <c r="F62" i="3" s="1"/>
  <c r="F17" i="3"/>
  <c r="F87" i="4"/>
  <c r="E44" i="7"/>
  <c r="F88" i="4"/>
  <c r="F98" i="3"/>
  <c r="I56" i="7"/>
  <c r="I55" i="7" l="1"/>
  <c r="E43" i="7" l="1"/>
  <c r="D43" i="7"/>
  <c r="E37" i="7"/>
  <c r="D37" i="7"/>
  <c r="H59" i="7" l="1"/>
  <c r="G59" i="7"/>
  <c r="H58" i="7"/>
  <c r="G58" i="7"/>
  <c r="H57" i="7"/>
  <c r="G57" i="7"/>
  <c r="H56" i="7"/>
  <c r="F41" i="5"/>
  <c r="F40" i="5"/>
  <c r="F39" i="5"/>
  <c r="F38" i="5"/>
  <c r="F36" i="5"/>
  <c r="F35" i="5"/>
  <c r="F34" i="5"/>
  <c r="F31" i="5"/>
  <c r="F30" i="5"/>
  <c r="F29" i="5"/>
  <c r="F28" i="5"/>
  <c r="L66" i="5"/>
  <c r="K66" i="5"/>
  <c r="H66" i="5"/>
  <c r="G66" i="5"/>
  <c r="L65" i="5"/>
  <c r="K65" i="5"/>
  <c r="H65" i="5"/>
  <c r="L64" i="5"/>
  <c r="K64" i="5"/>
  <c r="H64" i="5"/>
  <c r="G64" i="5"/>
  <c r="H63" i="5" l="1"/>
  <c r="H62" i="5" s="1"/>
  <c r="G65" i="5"/>
  <c r="F65" i="5" s="1"/>
  <c r="G63" i="5"/>
  <c r="K62" i="5"/>
  <c r="I53" i="7"/>
  <c r="F66" i="5"/>
  <c r="L62" i="5"/>
  <c r="F25" i="5"/>
  <c r="I52" i="7"/>
  <c r="E57" i="7"/>
  <c r="D58" i="7"/>
  <c r="D59" i="7"/>
  <c r="E53" i="7"/>
  <c r="D56" i="7"/>
  <c r="E58" i="7"/>
  <c r="E59" i="7"/>
  <c r="F24" i="5"/>
  <c r="C46" i="7"/>
  <c r="C47" i="7"/>
  <c r="H51" i="7"/>
  <c r="H50" i="7"/>
  <c r="H43" i="7"/>
  <c r="G43" i="7"/>
  <c r="I43" i="7"/>
  <c r="H52" i="7"/>
  <c r="I51" i="7"/>
  <c r="I50" i="7"/>
  <c r="F23" i="5"/>
  <c r="H53" i="7"/>
  <c r="F37" i="5"/>
  <c r="F21" i="5"/>
  <c r="F27" i="5"/>
  <c r="F33" i="5"/>
  <c r="F32" i="5" s="1"/>
  <c r="C44" i="7"/>
  <c r="F26" i="5"/>
  <c r="C59" i="7" l="1"/>
  <c r="C58" i="7"/>
  <c r="F64" i="5"/>
  <c r="F63" i="5"/>
  <c r="G62" i="5"/>
  <c r="D50" i="7"/>
  <c r="D53" i="7"/>
  <c r="C53" i="7" s="1"/>
  <c r="E52" i="7"/>
  <c r="E50" i="7"/>
  <c r="E51" i="7"/>
  <c r="D57" i="7"/>
  <c r="C57" i="7" s="1"/>
  <c r="D52" i="7"/>
  <c r="C52" i="7" s="1"/>
  <c r="D51" i="7"/>
  <c r="H55" i="7"/>
  <c r="I49" i="7"/>
  <c r="F22" i="5"/>
  <c r="F49" i="7"/>
  <c r="C45" i="7"/>
  <c r="G49" i="7"/>
  <c r="F20" i="5"/>
  <c r="F18" i="5"/>
  <c r="F19" i="5"/>
  <c r="F55" i="7"/>
  <c r="G56" i="7"/>
  <c r="F62" i="5" l="1"/>
  <c r="E56" i="7"/>
  <c r="E55" i="7" s="1"/>
  <c r="E49" i="7"/>
  <c r="D55" i="7"/>
  <c r="D49" i="7"/>
  <c r="C50" i="7"/>
  <c r="G55" i="7"/>
  <c r="H49" i="7"/>
  <c r="F43" i="7"/>
  <c r="C43" i="7" s="1"/>
  <c r="C51" i="7"/>
  <c r="F17" i="5"/>
  <c r="C49" i="7" l="1"/>
  <c r="C55" i="7"/>
  <c r="C56" i="7"/>
  <c r="C40" i="7"/>
  <c r="C41" i="7"/>
  <c r="C39" i="7"/>
  <c r="H37" i="7" l="1"/>
  <c r="I37" i="7"/>
  <c r="G37" i="7"/>
  <c r="F37" i="7"/>
  <c r="C38" i="7" l="1"/>
  <c r="C37" i="7"/>
  <c r="E27" i="7" l="1"/>
  <c r="E21" i="7" s="1"/>
  <c r="E28" i="7" l="1"/>
  <c r="E26" i="7"/>
  <c r="E20" i="7" s="1"/>
  <c r="E29" i="7"/>
  <c r="E25" i="7" l="1"/>
  <c r="I26" i="7" l="1"/>
  <c r="I20" i="7" s="1"/>
  <c r="I29" i="7"/>
  <c r="I23" i="7" s="1"/>
  <c r="G29" i="7"/>
  <c r="H28" i="7"/>
  <c r="H22" i="7" s="1"/>
  <c r="H26" i="7"/>
  <c r="H20" i="7" s="1"/>
  <c r="H29" i="7"/>
  <c r="H23" i="7" s="1"/>
  <c r="I28" i="7"/>
  <c r="I22" i="7" s="1"/>
  <c r="G28" i="7"/>
  <c r="G22" i="7" s="1"/>
  <c r="H27" i="7" l="1"/>
  <c r="H21" i="7" s="1"/>
  <c r="I27" i="7"/>
  <c r="I21" i="7" s="1"/>
  <c r="I19" i="7" l="1"/>
  <c r="H25" i="7"/>
  <c r="I25" i="7"/>
  <c r="H19" i="7"/>
  <c r="G25" i="7"/>
  <c r="D26" i="7" l="1"/>
  <c r="F26" i="7"/>
  <c r="F28" i="7"/>
  <c r="F29" i="7"/>
  <c r="D29" i="7" l="1"/>
  <c r="C26" i="7"/>
  <c r="D27" i="7" l="1"/>
  <c r="D28" i="7"/>
  <c r="C29" i="7"/>
  <c r="F27" i="7"/>
  <c r="C28" i="7" l="1"/>
  <c r="D25" i="7"/>
  <c r="C27" i="7"/>
  <c r="F25" i="7"/>
  <c r="C25" i="7" l="1"/>
  <c r="C35" i="7"/>
  <c r="C32" i="7"/>
  <c r="D20" i="7"/>
  <c r="C34" i="7"/>
  <c r="C33" i="7"/>
  <c r="D23" i="7"/>
  <c r="C31" i="7"/>
  <c r="G21" i="7"/>
  <c r="F21" i="7"/>
  <c r="D22" i="7"/>
  <c r="E23" i="7"/>
  <c r="D21" i="7"/>
  <c r="G23" i="7"/>
  <c r="G20" i="7"/>
  <c r="F22" i="7"/>
  <c r="F20" i="7"/>
  <c r="F23" i="7"/>
  <c r="E22" i="7"/>
  <c r="E19" i="7" l="1"/>
  <c r="F19" i="7"/>
  <c r="G19" i="7"/>
  <c r="C21" i="7"/>
  <c r="C22" i="7"/>
  <c r="C23" i="7"/>
  <c r="C20" i="7"/>
  <c r="D19" i="7"/>
  <c r="C19" i="7" l="1"/>
</calcChain>
</file>

<file path=xl/sharedStrings.xml><?xml version="1.0" encoding="utf-8"?>
<sst xmlns="http://schemas.openxmlformats.org/spreadsheetml/2006/main" count="1254" uniqueCount="263">
  <si>
    <t>1.</t>
  </si>
  <si>
    <t>Администрация МО "Братский район"</t>
  </si>
  <si>
    <t>Всего:</t>
  </si>
  <si>
    <t>Областной б-т</t>
  </si>
  <si>
    <t>Федеральный б-т</t>
  </si>
  <si>
    <t>Местный б-т</t>
  </si>
  <si>
    <t>Другие источники</t>
  </si>
  <si>
    <t>2.</t>
  </si>
  <si>
    <t>3.</t>
  </si>
  <si>
    <t>4.</t>
  </si>
  <si>
    <t>5.</t>
  </si>
  <si>
    <t>2.1.</t>
  </si>
  <si>
    <t>Проведение конкурса "Воспитатель года"</t>
  </si>
  <si>
    <t>2.2.</t>
  </si>
  <si>
    <t>2.3.</t>
  </si>
  <si>
    <t>Задача : Организация предоставления общедоступного и бесплатного дошкольного образования по основным общеобразовательным программам в ДОУ,   ликвидация очередности в ДОУ, в том числе:</t>
  </si>
  <si>
    <t>Основное мероприятие: Обеспечение деятельности муниципальных  учреждений дошкольного образования, в том числе:</t>
  </si>
  <si>
    <t>1.1.</t>
  </si>
  <si>
    <t>1.1.1.</t>
  </si>
  <si>
    <t>1.2.</t>
  </si>
  <si>
    <t>Обновление материально-технического оборудования и средств обучения в условиях ФГОС, в том числе:</t>
  </si>
  <si>
    <t>1.2.1.</t>
  </si>
  <si>
    <t>1.2.2.</t>
  </si>
  <si>
    <t>1.2.3.</t>
  </si>
  <si>
    <t>1.3.</t>
  </si>
  <si>
    <t xml:space="preserve">Основное мероприятие: Проведение других мероприятий, в том числе: </t>
  </si>
  <si>
    <t xml:space="preserve">Основное мероприятие: Профессиональная подготовка, переподготовка и повышение квалификации, в том числе:  </t>
  </si>
  <si>
    <t>3.1.</t>
  </si>
  <si>
    <t>Проведение переподготовки педагогов для работы по новым образовательным стандартам в условиях ФГОС.</t>
  </si>
  <si>
    <t>3.2.</t>
  </si>
  <si>
    <t>№ п/п</t>
  </si>
  <si>
    <t>Наименование основных мероприятий</t>
  </si>
  <si>
    <t>Ответственный исполнитель, соисполнители и участники</t>
  </si>
  <si>
    <t>Источники финансирования</t>
  </si>
  <si>
    <t>Объем финансирования всего, тыс.руб.</t>
  </si>
  <si>
    <t>в том числе по годам:</t>
  </si>
  <si>
    <t xml:space="preserve">Приобретение и установка мягкого и жесткого инвентаря,мебели, спортивного, оздоровительного,игрового оборудования в группы и  на участки ДОУ,приобретение продуктов питания, приобретение услуг у юридических лиц с целью обслуживания зданий и сооружений (коммунальные услуги, охранно-пожарная сигнализация, дезинфекция, дератизация помещений, ремонт сантехнического и электрического оборудования), транспортные расходы, приобретение материальных запасов и др. </t>
  </si>
  <si>
    <t>Расходы на выплату персоналу в целях обеспечения выполнения функций государственными (муниципальными) органами казёнными учреждениями, органами управления  государственными внебюджетными фондами</t>
  </si>
  <si>
    <t>2019г.</t>
  </si>
  <si>
    <t>2021г.</t>
  </si>
  <si>
    <t xml:space="preserve">муниципальной программы </t>
  </si>
  <si>
    <t>Реализация мероприятий перечня проектов народных инициатив</t>
  </si>
  <si>
    <t xml:space="preserve">муниципальной программы  "Развитие </t>
  </si>
  <si>
    <t>2020г.</t>
  </si>
  <si>
    <t>Задача: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в ОУ.</t>
  </si>
  <si>
    <t>Администрация МО "Братский район", Управление образования АМО "Братский район"</t>
  </si>
  <si>
    <t>Областной бюджет</t>
  </si>
  <si>
    <t xml:space="preserve">
1.1</t>
  </si>
  <si>
    <t xml:space="preserve"> Реализация комплекса мероприятий по обеспечению современных материально-технических условий для внедрения ФГОС, в том числе:
</t>
  </si>
  <si>
    <t xml:space="preserve">Оплата услуг связи, в том числе расходов,связанных с подключением информационной сети Интернет; приобретение услуг у юридических лиц с целью обслуживания зданий и сооружений (коммунальные услуги, охранно-пожарная сигнализация, дезинфекция, дератизация помещений, ремонт сантехнического и электрического оборудования), трансортные расходы, приобретение материальных запасов и др. </t>
  </si>
  <si>
    <t>1.1.2.</t>
  </si>
  <si>
    <t xml:space="preserve">Конкурс "Учитель года" </t>
  </si>
  <si>
    <t xml:space="preserve">Основное мероприятие: Профессиональная подготовка, переподготовка и повышение квалификации, в том числе: </t>
  </si>
  <si>
    <t>Формирование плана повышение квалификации и профессиональной переподготовки руководителей и педагогов на основе изучения потребностей в повышение квалификации (в том числе по обучению учащихся в соответствии с новыми ФГОС) и профессиональной переподготовки</t>
  </si>
  <si>
    <t>Основное мероприятие: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</si>
  <si>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5.1.</t>
  </si>
  <si>
    <t>Задача: Улучшение условий для обеспечения детей услугами доступного и качественного дополнительного образования.</t>
  </si>
  <si>
    <t xml:space="preserve">Оплата услуг связи, в том числе расходов,связанных с подключением информационной сети Интернет; приобретение услуг у юридических лиц с целью обслуживания зданий и сооружений ( коммунальные услуги, охранно-пожарная сигнализация, дезинфекция, дератизация помещений, ремонт сантехнического и электрического оборудования), оплата труда работников учреждений </t>
  </si>
  <si>
    <t xml:space="preserve">Основное мероприятие: Проведение других мероприятий </t>
  </si>
  <si>
    <t>Детский областной парламент</t>
  </si>
  <si>
    <t>Конкурс "Лучший ученик" и другие</t>
  </si>
  <si>
    <t>Задача: Создание условий для обеспечения доступности и повышения качества организации отдыха, оздоровления и занятости  детей (обучающихся)</t>
  </si>
  <si>
    <t>Основное мероприятие: Реализация мероприятий по организации отдыха, оздоровления и занятости детей, в том числе:</t>
  </si>
  <si>
    <t xml:space="preserve">Укрепление материально-технической базы учреждений, оказывающих услуги по организации отдыха и оздоровления детей (приобретение оборудования, инвентаря, техники для образовательных учреждений, на базе которых действуют лагеря с дневным пребыванием </t>
  </si>
  <si>
    <t>Мероприятия по организации отдыха и оздоровления детей, в том числе:</t>
  </si>
  <si>
    <t>Организация оздоровительных лагерей с дневным пребыванием на базе общеобразовательных  учреждений и учреждений дополнительного образования</t>
  </si>
  <si>
    <t>Организация профильных смен для одаренных детей на базе МКОУ ДОД "ДДТ"</t>
  </si>
  <si>
    <t>Организация витаминизированного питания дошкольников</t>
  </si>
  <si>
    <t>Основное мероприятие: Обеспечение питанием обучающихся из  малоимущих и многодетных семей</t>
  </si>
  <si>
    <t xml:space="preserve">к подпрограмме "Комплексная безопасность на объектах образования" </t>
  </si>
  <si>
    <t>Задача: Создание безопасных условий для организации образовательного процесса, а также повышение уровня пожарной антитеррористической и экологической безопасности зданий и оборудования</t>
  </si>
  <si>
    <t>Основное мероприятие: Обеспечение безопасных условий для организации образовательного процесса, а также повышение уровня пожарной,  антитеррористической и экологической безопасности зданий и оборудования, обеспечение безопасности учащихся, воспитанников и работников образовательных учреждений во время их трудовой и учебной деятельности путем повышения безопасности их жизнедеятельности на основе использования современных достижений науки и техники в этой области.  в том числе:</t>
  </si>
  <si>
    <t>Укрепление материально-технической базы учреждений, обеспечивающей соблюдение условий комплексной безопасности образовательного процесса, в том числе:</t>
  </si>
  <si>
    <t xml:space="preserve">Утилизация люминисцентных ламп накаливания, обработка огнезащитным составом стропил чердачных помещений  </t>
  </si>
  <si>
    <t>1.1.3.</t>
  </si>
  <si>
    <t>Совершенствование кадрового состава образовательных учреждений</t>
  </si>
  <si>
    <t>Подготовка и повышение квалификации кадрового состава (работников) общеобразовательных учреждений, дошкольных образовательных учреждений, учреждений дополнительного образования по программам "Пожарно-технический минимум", "Электробезопасность", "Охрана труда"</t>
  </si>
  <si>
    <t>Приобетение технологического оборудования, проведение ремонтных работ и оснащение (обеспечение) медицинских кабинетов необходимым оборудованием для проведения лицензирования</t>
  </si>
  <si>
    <t>Задача: Исполнение муниципальных функций в сфере образования</t>
  </si>
  <si>
    <t xml:space="preserve"> Приобретение канц. товаров, хозяйственных пренадлежностей,  приобретение услуг у юридических лиц с целью обслуживания зданий и сооружений (коммунальные услуги, охранно-пожарная сигнализация, дезинфекция, дератизация помещений, ремонт сантехнического и электрического оборудования, налоги) </t>
  </si>
  <si>
    <t xml:space="preserve">Основное мероприятие: Профессиональная подготовка, переподготовка и повышение квалификации </t>
  </si>
  <si>
    <t>Основное мероприятие: Проведение других мероприятий</t>
  </si>
  <si>
    <t xml:space="preserve"> </t>
  </si>
  <si>
    <t>к муниципальной программе</t>
  </si>
  <si>
    <t>«Развитие образования Братского района»</t>
  </si>
  <si>
    <t>РЕСУРСНОЕ ОБЕСПЕЧЕНИЕ РЕАЛИЗАЦИИ МУНИЦИПАЛЬНОЙ ПРОГРАММЫ</t>
  </si>
  <si>
    <t>Объем финансирования, тыс.руб.</t>
  </si>
  <si>
    <t>За весь период реализации муниципальной программы</t>
  </si>
  <si>
    <t>В том числе по годам</t>
  </si>
  <si>
    <t>1</t>
  </si>
  <si>
    <t>2</t>
  </si>
  <si>
    <t>3</t>
  </si>
  <si>
    <t>4</t>
  </si>
  <si>
    <t>5</t>
  </si>
  <si>
    <t>6</t>
  </si>
  <si>
    <t>7</t>
  </si>
  <si>
    <t>8</t>
  </si>
  <si>
    <t>Всего, в том числе:</t>
  </si>
  <si>
    <t>Местный бюджет</t>
  </si>
  <si>
    <t>Федеральный бюджет</t>
  </si>
  <si>
    <t>Подпрограмма 1. «Дошкольное образование»</t>
  </si>
  <si>
    <t>Подпрограмма 2. «Общее образование»</t>
  </si>
  <si>
    <t>Подпрограмма 3. «Дополнительное образование детей в сфере образования"</t>
  </si>
  <si>
    <t>Подпрограмма 4. «Отдых, оздоровление и занятость детей»</t>
  </si>
  <si>
    <t>Подпрограмма 5. «Комплексная безопасность на объектах образования»</t>
  </si>
  <si>
    <t>Подпрограмма 6. «Обеспечение реализации муниципальной программы»</t>
  </si>
  <si>
    <t>Расходы на выплаты персоналу в целяхобеспечения выполнения функций государственными (муниципальными) органами, казенными учреждениями, органамиправления государственными внебюджетными фондами</t>
  </si>
  <si>
    <t>к подпрограмме "Отдых, оздоровление и занятость детей"</t>
  </si>
  <si>
    <t xml:space="preserve">к подпрограмме "Обеспечение реализации муниципальной </t>
  </si>
  <si>
    <t>Закупка товаров, работ услуг для проведения мероприятий</t>
  </si>
  <si>
    <t>2.2.1.</t>
  </si>
  <si>
    <t>2.2.2.</t>
  </si>
  <si>
    <t>2.2.3.</t>
  </si>
  <si>
    <t>Проведение конкурса "День защиты детей"</t>
  </si>
  <si>
    <t>Проведение конкурса "Педагогический вернисаж" и другие</t>
  </si>
  <si>
    <t>Реализация плана повышение квалификации и профессиональной переподготовки кадров</t>
  </si>
  <si>
    <t>2.1.1.</t>
  </si>
  <si>
    <t>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</t>
  </si>
  <si>
    <t>Муниципальный проект "Современная школа" (Точка роста)</t>
  </si>
  <si>
    <t>Приложение № 2</t>
  </si>
  <si>
    <t>к Постановлению мэра Братского района</t>
  </si>
  <si>
    <t>«</t>
  </si>
  <si>
    <t>»</t>
  </si>
  <si>
    <t>Приложение № 6</t>
  </si>
  <si>
    <t>к подпрограмме "Дошкольное образование" на 2019-2024 годы</t>
  </si>
  <si>
    <t>"Развитие образования Братского района" на 2019-2024 годы</t>
  </si>
  <si>
    <t xml:space="preserve">РЕСУРСНОЕ ОБЕСПЕЧЕНИЕ И СИСТЕМА МЕРОПРИЯТИЙ ПОДПРОГРАММЫ "ДОШКОЛЬНОЕ ОБРАЗОВАНИЕ" НА 2019-2024 ГОДЫ  </t>
  </si>
  <si>
    <t>МУНИЦИПАЛЬНОЙ ПРОГРАММЫ "РАЗВИТИЕ ОБРАЗОВАНИЯ БРАТСКОГО РАЙОНА" НА 2019-2024 ГОДЫ</t>
  </si>
  <si>
    <t xml:space="preserve">к подпрограмме "Общее образование" на 2019-2024 годы </t>
  </si>
  <si>
    <t>образования Братского района" на 2019-2024 годы.</t>
  </si>
  <si>
    <t xml:space="preserve">РЕСУРСНОЕ ОБЕСПЕЧЕНИЕ И СИСТЕМА МЕРОПРИЯТИЙ ПОДПРОГРАММЫ "ОБЩЕЕ ОБРАЗОВАНИЕ" на 2019-2024 годы  </t>
  </si>
  <si>
    <t xml:space="preserve"> МУНИЦИПАЛЬНОЙ ПРОГРАММЫ "РАЗВИТИЕ ОБРАЗОВАНИЯ БРАТСКОГО РАЙОНА" НА 2019-2024 ГОДЫ</t>
  </si>
  <si>
    <t xml:space="preserve">на 2019-2024 годы муниципальной программы </t>
  </si>
  <si>
    <t xml:space="preserve"> на 2019-2024 годы муниципальной программы </t>
  </si>
  <si>
    <t>"Развитие образования Братского района" на 2019-2024 годы.</t>
  </si>
  <si>
    <t>РЕСУРСНОЕ ОБЕСПЕЧЕНИЕ И СИСТЕМА МЕРОПРИЯТИЙ ПОДПРОГРАММЫ "ОТДЫХ, ОЗДОРОВЛЕНИЕ И ЗАНЯТОСТЬ ДЕТЕЙ"  на 2019-2024 годы</t>
  </si>
  <si>
    <t>РЕСУРСНОЕ ОБЕСПЕЧЕНИЕ И СИСТЕМА МЕРОПРИЯТИЙ ПОДПРОГРАММЫ "Комплексная безопасность на объектах образования"  на 2019-2024 годы</t>
  </si>
  <si>
    <t xml:space="preserve">программы" на 2019-2024 годы муниципальной программы    </t>
  </si>
  <si>
    <t>РЕСУРСНОЕ ОБЕСПЕЧЕНИЕ И СИСТЕМА МЕРОПРИЯТИЙ ПОДПРОГРАММЫ "Обеспечение реализации муниципальной программы" на 2019-2024 годы</t>
  </si>
  <si>
    <t>РЕСУРСНОЕ ОБЕСПЕЧЕНИЕ И СИСТЕМА МЕРОПРИЯТИЙ ПОДПРОГРАММЫ "Кадровая политика образования" на 2019-2024 годы</t>
  </si>
  <si>
    <t>Муниципальный проект "Успех каждого ребенка"</t>
  </si>
  <si>
    <t>Основное мероприятие: Капитальные вложения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</si>
  <si>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Основное мероприятие: Приобретение жилья в муниципальную собственность в целях обеспечения работников образования жилыми помещениями специализированного (служебного) жилищного фонда</t>
  </si>
  <si>
    <t>Основное мероприятие: Социальная поддержка работников образования</t>
  </si>
  <si>
    <t>Основное мероприятие: Подготовка кадров</t>
  </si>
  <si>
    <t>Подпрограмма 7. «Кадровая политика образования»</t>
  </si>
  <si>
    <t xml:space="preserve"> 2.1</t>
  </si>
  <si>
    <t xml:space="preserve"> 2.2</t>
  </si>
  <si>
    <t xml:space="preserve">Выплата единовременного подъемного пособия молодым специалистам за счет средств муниципального бюджета  </t>
  </si>
  <si>
    <t>Предоставление работникам арендуемых жилых помещений до момента обеспечения жилым помещением специализированного (служебного) жилищного фонда на период работы в муниципальном образовательном учреждении</t>
  </si>
  <si>
    <t>2022г.</t>
  </si>
  <si>
    <t>2024г.</t>
  </si>
  <si>
    <t>2023г.</t>
  </si>
  <si>
    <t>Основное мероприятие: Профессиональная подготовка, переподготовка и повышение квалификации в том числе:</t>
  </si>
  <si>
    <t>Комплексные мероприятия, направленные на создание условий, обеспечивающих качество и доступность дополнительных общеобразовательных программ</t>
  </si>
  <si>
    <t>Создание детских технопарков «Кванториум»</t>
  </si>
  <si>
    <t xml:space="preserve"> 4.1</t>
  </si>
  <si>
    <t xml:space="preserve"> 4.2</t>
  </si>
  <si>
    <t>«РАЗВИТИЕ ОБРАЗОВАНИЯ БРАТСКОГО РАЙОНА» НА 2019-2024 ГОДЫ</t>
  </si>
  <si>
    <t>на 2019-2024 годы.</t>
  </si>
  <si>
    <t>Основное мероприятие: Обеспечение деятельности учебно-методических кабинетов, централизованных бухгалтерий, групп хозяйственного обслуживания, учебных фильмотек, в том числе:</t>
  </si>
  <si>
    <t>Основное мероприятие: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</si>
  <si>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Основное мероприятие: Организация отдыха детей в каникулярное время, оплата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</si>
  <si>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Муниципальный проект «Финансовая поддержка семей при рождении детей»</t>
  </si>
  <si>
    <t>Основное мероприятие: Обеспечение деятельности муниципальных учреждений дополнительного образования, в том числе:</t>
  </si>
  <si>
    <t>Основное мероприятие: Обеспечение деятельности муниципальных учреждений общего образования, в том числе:</t>
  </si>
  <si>
    <t>2.1.2.</t>
  </si>
  <si>
    <t>Основное мероприятие: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</si>
  <si>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</si>
  <si>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Основное мероприятие: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 - июле 2019 года на территории Иркутской области</t>
  </si>
  <si>
    <t>Основное мероприятие: Обеспечение бесплатным питьевым молоком обучающихся 1 – 4 классов муниципальных общеобразовательных организаций в Иркутской области</t>
  </si>
  <si>
    <t>Основное мероприятие: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</si>
  <si>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Основное мероприятие: Осуществление областных государственных полномочий по обеспечению бесплатным двухразовым питанием детей-инвалидов</t>
  </si>
  <si>
    <t xml:space="preserve"> 11.1</t>
  </si>
  <si>
    <t xml:space="preserve"> 11.3</t>
  </si>
  <si>
    <t>"Приложение № 9</t>
  </si>
  <si>
    <t>Приложение № 1</t>
  </si>
  <si>
    <t>Приложение № 3</t>
  </si>
  <si>
    <t>Приложение № 4</t>
  </si>
  <si>
    <t>Муниципальная программа «Развитие образования Братского района» на 2019-2024 годы</t>
  </si>
  <si>
    <t>Управление образования АМО "Братский район"</t>
  </si>
  <si>
    <t xml:space="preserve"> 3.1</t>
  </si>
  <si>
    <t xml:space="preserve"> 3.2</t>
  </si>
  <si>
    <t xml:space="preserve"> 8.1</t>
  </si>
  <si>
    <t xml:space="preserve"> 8.2</t>
  </si>
  <si>
    <t>МКОУ "Илирская СОШ №2"</t>
  </si>
  <si>
    <t>МКОУ "Александровская СОШ"</t>
  </si>
  <si>
    <t>Оплата целевого обучения обучающихся в образовательных организациях по педагогическому профилю очно</t>
  </si>
  <si>
    <t>Мера поддержки студентам в виде ежемесячной стипендии</t>
  </si>
  <si>
    <t>к подпрограмме "Кадровая политика образования"</t>
  </si>
  <si>
    <t xml:space="preserve">на 2019-2024 годы муниципальной программы    </t>
  </si>
  <si>
    <t xml:space="preserve">РЕСУРСНОЕ ОБЕСПЕЧЕНИЕ И СИСТЕМА МЕРОПРИЯТИЙ ПОДПРОГРАММЫ "Дополнительное образование детей в сфере образования" на 2019-2024 годы  </t>
  </si>
  <si>
    <t xml:space="preserve">образования" на 2019-2024 годы муниципальной программы </t>
  </si>
  <si>
    <t>к подпрограмме "Дополнительное образование детей в сфере</t>
  </si>
  <si>
    <t xml:space="preserve">Основное мероприятие: Осуществление областных государственных полномочий по обеспечению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 </t>
  </si>
  <si>
    <t>Основное мероприятие: Обеспечение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 за счет местного бюджета</t>
  </si>
  <si>
    <t>Задача: Обеспечение функционирования системы персонифицированного финансирования, обеспечивающей свободу выбора образовательных программ, равенство доступа к дополнительному образованию за счет средств бюджетов бюджетной системы, легкость и оперативность смены осваиваемых образовательных программ.</t>
  </si>
  <si>
    <t>Основное мероприятие: Обеспечение функционирования модели персонифицированного финансирования дополнительного образования детей</t>
  </si>
  <si>
    <t>Предоставление субсидий бюджетным, автономным учреждениям и иным некоммерческим организациям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</si>
  <si>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</si>
  <si>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Выплата денежного содержания с начислениями на него, а также заработной платы с начислениями на нее</t>
  </si>
  <si>
    <t>Основное мероприятие: 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</si>
  <si>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Основное мероприятие: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</si>
  <si>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Приложение № 5</t>
  </si>
  <si>
    <t>Приложение № 7</t>
  </si>
  <si>
    <t>ЗА СЧЕТ СРЕДСТВ , ПРЕДУСМОТРЕННЫХ В БЮДЖЕТЕ МО "БРАТСКИЙ РАЙОН"</t>
  </si>
  <si>
    <t>Обеспечение комплекса санитарных и санитарно-противоэпидемических мероприятий (страхование жизни и здоровья детей, приобретение медицинских аптечек, моющих, чистящих и дезинфицирующих средств</t>
  </si>
  <si>
    <t xml:space="preserve"> 11.4</t>
  </si>
  <si>
    <t>Обеспечение условий для освоения дополнительных общеобразовательных программ детьми с ограниченными возможностями здоровья</t>
  </si>
  <si>
    <t>Муниципальный проект "Цифровая образовательная среда"</t>
  </si>
  <si>
    <t xml:space="preserve">Муниципальный проект "Учитель будущего" </t>
  </si>
  <si>
    <t>Муниципальный проект "Содействие занятости женщин - создание условий дошкольного образования для детей в возрасте до трех лет"</t>
  </si>
  <si>
    <t>Муниципальный проект "Поддержка семей, имеющих детей"</t>
  </si>
  <si>
    <t>Создание в общеобразовательных организациях, расположенных в сельской местности, условий для занятий физической культурой и спортом (МКОУ "Вихоревская СОШ № 101"-2021г.; МКОУ "Турманская СОШ" и МКОУ "Куватская СОШ" - 2022г.; МКОУ "Кежемская СОШ" и МКОУ "Большиокинская СОШ" - 2023г)</t>
  </si>
  <si>
    <t xml:space="preserve"> 1.1</t>
  </si>
  <si>
    <t xml:space="preserve"> 1.2</t>
  </si>
  <si>
    <t xml:space="preserve"> 1.3</t>
  </si>
  <si>
    <t>1.4.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</si>
  <si>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 (МКОУ "Вихоревская СОШ №101)</t>
  </si>
  <si>
    <t>Основное мероприятие: Осуществление мероприятий по капитальному ремонту образовательных организаций</t>
  </si>
  <si>
    <t>Основное мероприятие: 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</si>
  <si>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</si>
  <si>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все года по 0, можно убрать строчки???</t>
  </si>
  <si>
    <t>убрать, все года 0</t>
  </si>
  <si>
    <t>11.2.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</si>
  <si>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</si>
  <si>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убрать</t>
  </si>
  <si>
    <t xml:space="preserve">«Ресурсное обеспечение  муниципальной программы»  </t>
  </si>
  <si>
    <t>Ресурсное обеспечение муниципальной программы</t>
  </si>
  <si>
    <t>Годы</t>
  </si>
  <si>
    <t>Всего, тыс. руб.</t>
  </si>
  <si>
    <t>В том числе:</t>
  </si>
  <si>
    <t>Обл. б-т</t>
  </si>
  <si>
    <t>Фед.   Б-т</t>
  </si>
  <si>
    <t>Мест. Б-т</t>
  </si>
  <si>
    <t>Другие</t>
  </si>
  <si>
    <t>Итого:</t>
  </si>
  <si>
    <t>Подпрограмма «Дошкольное образование»</t>
  </si>
  <si>
    <t xml:space="preserve">Ресурсное обеспечение подпрограммы         </t>
  </si>
  <si>
    <t>Всего, тыс. руб.:</t>
  </si>
  <si>
    <t>В том числе по годам:</t>
  </si>
  <si>
    <t>Обл.Б-т</t>
  </si>
  <si>
    <t>Фед.Б-т</t>
  </si>
  <si>
    <t>Мест.Б-т</t>
  </si>
  <si>
    <t>Подпрограмма «Общее образование»</t>
  </si>
  <si>
    <t xml:space="preserve">Подпрограмма «Дополнительное образование детей в сфере образования» </t>
  </si>
  <si>
    <t>Подпрограмма «Отдых, оздоровление и занятость детей»</t>
  </si>
  <si>
    <t>Подпрограмма «Комплексная безопасность на объектах образования»</t>
  </si>
  <si>
    <r>
      <t>«</t>
    </r>
    <r>
      <rPr>
        <sz val="12"/>
        <rFont val="Times New Roman"/>
        <family val="1"/>
        <charset val="204"/>
      </rPr>
      <t xml:space="preserve">Ресурсное обеспечение подпрограммы         </t>
    </r>
  </si>
  <si>
    <t>Подпрограмма «Обеспечение реализации муниципальной программы»</t>
  </si>
  <si>
    <t>Подпрограмма «Кадровая политика образования»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</si>
  <si>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 государственными внебюджетными фондами</t>
  </si>
  <si>
    <t>Олимпиады, областное родительское собрание, бал выпускников, августовская конференция и другие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</si>
  <si>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</si>
  <si>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Обеспечение качества кадрового состава сферы дополнительного образования детей в Братском районе: реализация программы подготовки современных менеджеров организаций дополнительного образования детей</t>
  </si>
  <si>
    <t>"Лидер ученического самоуправления"</t>
  </si>
  <si>
    <t>Приобретение и монтаж софитов, приобретение энергосберегающих ламп, приобретение и перезарядка огнетушителей, приобретение диспенсеров питьевого режима</t>
  </si>
  <si>
    <t xml:space="preserve">Установка видеонаблюдения и автоматической пожарной сигнализации, ее обслуживание и ремонт, ремонт ограждения территорий ОУ, ремонт наружного освещения, обслуживание, ремонт и стоительство пожарных резервуаров, установка тревожной сигнализации </t>
  </si>
  <si>
    <t>1.5.</t>
  </si>
  <si>
    <t>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</si>
  <si>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Закупка товаров, работ и услуг для проведения мероприятий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</si>
  <si>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 МКОУ "Илирская СОШ № 2" (2020г.)</t>
  </si>
  <si>
    <t>№ 587 от 12.08.2022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</si>
</sst>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164" fontId="1" fillId="0" borderId="0" xfId="0" applyNumberFormat="1" applyFont="1" applyFill="1" applyBorder="1"/>
    <xf numFmtId="164" fontId="3" fillId="0" borderId="0" xfId="0" applyNumberFormat="1" applyFont="1" applyFill="1" applyBorder="1"/>
    <xf numFmtId="164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9" fontId="1" fillId="0" borderId="7" xfId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right" vertical="center"/>
    </xf>
    <xf numFmtId="9" fontId="1" fillId="0" borderId="0" xfId="1" applyFont="1" applyFill="1"/>
    <xf numFmtId="164" fontId="3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" fontId="3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0" fontId="0" fillId="0" borderId="0" xfId="0" applyFill="1" applyAlignment="1">
      <alignment horizontal="right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164" fontId="1" fillId="0" borderId="2" xfId="0" applyNumberFormat="1" applyFont="1" applyFill="1" applyBorder="1"/>
    <xf numFmtId="0" fontId="3" fillId="0" borderId="5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left" wrapText="1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0" fillId="0" borderId="0" xfId="0" applyFont="1" applyFill="1"/>
    <xf numFmtId="0" fontId="3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/>
    <xf numFmtId="164" fontId="14" fillId="0" borderId="1" xfId="0" applyNumberFormat="1" applyFont="1" applyFill="1" applyBorder="1"/>
    <xf numFmtId="0" fontId="15" fillId="0" borderId="1" xfId="0" applyFont="1" applyFill="1" applyBorder="1" applyAlignment="1">
      <alignment vertical="center"/>
    </xf>
    <xf numFmtId="0" fontId="14" fillId="0" borderId="0" xfId="0" applyFont="1" applyFill="1"/>
    <xf numFmtId="0" fontId="15" fillId="0" borderId="1" xfId="0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17" fillId="0" borderId="18" xfId="0" applyFont="1" applyFill="1" applyBorder="1" applyAlignment="1">
      <alignment vertical="top" wrapText="1"/>
    </xf>
    <xf numFmtId="4" fontId="18" fillId="0" borderId="18" xfId="0" applyNumberFormat="1" applyFont="1" applyFill="1" applyBorder="1" applyAlignment="1">
      <alignment horizontal="right" vertical="top" wrapText="1"/>
    </xf>
    <xf numFmtId="4" fontId="17" fillId="0" borderId="18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7" fillId="0" borderId="18" xfId="0" applyNumberFormat="1" applyFont="1" applyFill="1" applyBorder="1" applyAlignment="1">
      <alignment vertical="top" wrapText="1"/>
    </xf>
    <xf numFmtId="4" fontId="1" fillId="0" borderId="18" xfId="0" applyNumberFormat="1" applyFont="1" applyFill="1" applyBorder="1" applyAlignment="1">
      <alignment vertical="top" wrapText="1"/>
    </xf>
    <xf numFmtId="165" fontId="0" fillId="0" borderId="0" xfId="0" applyNumberFormat="1" applyFill="1"/>
    <xf numFmtId="164" fontId="14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17" fillId="2" borderId="18" xfId="0" applyNumberFormat="1" applyFont="1" applyFill="1" applyBorder="1" applyAlignment="1">
      <alignment vertical="top" wrapText="1"/>
    </xf>
    <xf numFmtId="0" fontId="17" fillId="2" borderId="18" xfId="0" applyFont="1" applyFill="1" applyBorder="1" applyAlignment="1">
      <alignment vertical="top" wrapText="1"/>
    </xf>
    <xf numFmtId="4" fontId="18" fillId="2" borderId="18" xfId="0" applyNumberFormat="1" applyFont="1" applyFill="1" applyBorder="1" applyAlignment="1">
      <alignment horizontal="right" vertical="top" wrapText="1"/>
    </xf>
    <xf numFmtId="4" fontId="17" fillId="2" borderId="18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164" fontId="7" fillId="0" borderId="12" xfId="0" applyNumberFormat="1" applyFont="1" applyFill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center"/>
    </xf>
    <xf numFmtId="164" fontId="7" fillId="0" borderId="14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" fontId="3" fillId="0" borderId="2" xfId="0" applyNumberFormat="1" applyFont="1" applyFill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16" fontId="1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4" fontId="17" fillId="0" borderId="11" xfId="0" applyNumberFormat="1" applyFont="1" applyFill="1" applyBorder="1" applyAlignment="1">
      <alignment vertical="top" wrapText="1"/>
    </xf>
    <xf numFmtId="4" fontId="17" fillId="0" borderId="16" xfId="0" applyNumberFormat="1" applyFont="1" applyFill="1" applyBorder="1" applyAlignment="1">
      <alignment vertical="top" wrapText="1"/>
    </xf>
    <xf numFmtId="4" fontId="17" fillId="0" borderId="12" xfId="0" applyNumberFormat="1" applyFont="1" applyFill="1" applyBorder="1" applyAlignment="1">
      <alignment vertical="top" wrapText="1"/>
    </xf>
    <xf numFmtId="4" fontId="17" fillId="0" borderId="13" xfId="0" applyNumberFormat="1" applyFont="1" applyFill="1" applyBorder="1" applyAlignment="1">
      <alignment vertical="top" wrapText="1"/>
    </xf>
    <xf numFmtId="4" fontId="17" fillId="0" borderId="14" xfId="0" applyNumberFormat="1" applyFont="1" applyFill="1" applyBorder="1" applyAlignment="1">
      <alignment vertical="top" wrapText="1"/>
    </xf>
    <xf numFmtId="0" fontId="16" fillId="2" borderId="11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0" fontId="16" fillId="2" borderId="16" xfId="0" applyFont="1" applyFill="1" applyBorder="1" applyAlignment="1">
      <alignment vertical="top" wrapText="1"/>
    </xf>
    <xf numFmtId="0" fontId="17" fillId="2" borderId="11" xfId="0" applyFont="1" applyFill="1" applyBorder="1" applyAlignment="1">
      <alignment vertical="top" wrapText="1"/>
    </xf>
    <xf numFmtId="0" fontId="17" fillId="2" borderId="16" xfId="0" applyFont="1" applyFill="1" applyBorder="1" applyAlignment="1">
      <alignment vertical="top" wrapText="1"/>
    </xf>
    <xf numFmtId="4" fontId="17" fillId="2" borderId="11" xfId="0" applyNumberFormat="1" applyFont="1" applyFill="1" applyBorder="1" applyAlignment="1">
      <alignment vertical="top" wrapText="1"/>
    </xf>
    <xf numFmtId="4" fontId="17" fillId="2" borderId="16" xfId="0" applyNumberFormat="1" applyFont="1" applyFill="1" applyBorder="1" applyAlignment="1">
      <alignment vertical="top" wrapText="1"/>
    </xf>
    <xf numFmtId="4" fontId="17" fillId="2" borderId="12" xfId="0" applyNumberFormat="1" applyFont="1" applyFill="1" applyBorder="1" applyAlignment="1">
      <alignment vertical="top" wrapText="1"/>
    </xf>
    <xf numFmtId="4" fontId="17" fillId="2" borderId="13" xfId="0" applyNumberFormat="1" applyFont="1" applyFill="1" applyBorder="1" applyAlignment="1">
      <alignment vertical="top" wrapText="1"/>
    </xf>
    <xf numFmtId="4" fontId="17" fillId="2" borderId="14" xfId="0" applyNumberFormat="1" applyFont="1" applyFill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39"/>
  <sheetViews>
    <sheetView tabSelected="1" view="pageBreakPreview" zoomScale="80" zoomScaleNormal="75" zoomScaleSheetLayoutView="80" workbookViewId="0">
      <pane xSplit="2" ySplit="16" topLeftCell="D17" activePane="bottomRight" state="frozen"/>
      <selection activeCell="G89" sqref="G89"/>
      <selection pane="topRight" activeCell="G89" sqref="G89"/>
      <selection pane="bottomLeft" activeCell="G89" sqref="G89"/>
      <selection pane="bottomRight" activeCell="G3" sqref="G3"/>
    </sheetView>
  </sheetViews>
  <sheetFormatPr defaultRowHeight="12.75" outlineLevelCol="1" x14ac:dyDescent="0.2"/>
  <cols>
    <col min="1" max="1" width="1.85546875" style="2" customWidth="1"/>
    <col min="2" max="2" width="23.7109375" style="2" customWidth="1"/>
    <col min="3" max="3" width="15.85546875" style="2" hidden="1" customWidth="1" outlineLevel="1"/>
    <col min="4" max="4" width="14" style="2" customWidth="1" collapsed="1"/>
    <col min="5" max="9" width="14" style="2" customWidth="1"/>
    <col min="10" max="10" width="2.42578125" style="2" customWidth="1"/>
    <col min="11" max="11" width="0.5703125" style="2" customWidth="1"/>
    <col min="12" max="16384" width="9.140625" style="2"/>
  </cols>
  <sheetData>
    <row r="1" spans="1:9" ht="15.75" x14ac:dyDescent="0.25">
      <c r="G1" s="1" t="s">
        <v>204</v>
      </c>
    </row>
    <row r="2" spans="1:9" ht="15.75" x14ac:dyDescent="0.25">
      <c r="G2" s="1" t="s">
        <v>120</v>
      </c>
    </row>
    <row r="3" spans="1:9" ht="15.75" x14ac:dyDescent="0.25">
      <c r="G3" s="1" t="s">
        <v>262</v>
      </c>
    </row>
    <row r="4" spans="1:9" ht="9" customHeight="1" x14ac:dyDescent="0.2"/>
    <row r="5" spans="1:9" s="1" customFormat="1" ht="15.75" x14ac:dyDescent="0.25">
      <c r="B5" s="3"/>
      <c r="F5" s="4"/>
      <c r="G5" s="4" t="s">
        <v>175</v>
      </c>
      <c r="H5" s="4"/>
      <c r="I5" s="109"/>
    </row>
    <row r="6" spans="1:9" s="1" customFormat="1" ht="15.75" x14ac:dyDescent="0.25">
      <c r="B6" s="3"/>
      <c r="E6" s="1" t="s">
        <v>82</v>
      </c>
      <c r="F6" s="4"/>
      <c r="G6" s="4" t="s">
        <v>83</v>
      </c>
      <c r="H6" s="4"/>
    </row>
    <row r="7" spans="1:9" s="1" customFormat="1" ht="15.75" x14ac:dyDescent="0.25">
      <c r="B7" s="3"/>
      <c r="F7" s="4"/>
      <c r="G7" s="4" t="s">
        <v>84</v>
      </c>
      <c r="H7" s="4"/>
    </row>
    <row r="8" spans="1:9" s="1" customFormat="1" ht="15.75" x14ac:dyDescent="0.25">
      <c r="B8" s="3"/>
      <c r="F8" s="4"/>
      <c r="G8" s="4" t="s">
        <v>159</v>
      </c>
      <c r="H8" s="4"/>
    </row>
    <row r="9" spans="1:9" s="1" customFormat="1" ht="9" customHeight="1" x14ac:dyDescent="0.25"/>
    <row r="10" spans="1:9" s="1" customFormat="1" ht="15.75" x14ac:dyDescent="0.25">
      <c r="B10" s="113" t="s">
        <v>85</v>
      </c>
      <c r="C10" s="113"/>
      <c r="D10" s="113"/>
      <c r="E10" s="113"/>
      <c r="F10" s="113"/>
      <c r="G10" s="113"/>
      <c r="H10" s="113"/>
      <c r="I10" s="113"/>
    </row>
    <row r="11" spans="1:9" s="1" customFormat="1" ht="15.75" x14ac:dyDescent="0.25">
      <c r="B11" s="113" t="s">
        <v>158</v>
      </c>
      <c r="C11" s="113"/>
      <c r="D11" s="113"/>
      <c r="E11" s="113"/>
      <c r="F11" s="113"/>
      <c r="G11" s="113"/>
      <c r="H11" s="113"/>
      <c r="I11" s="113"/>
    </row>
    <row r="12" spans="1:9" s="1" customFormat="1" ht="15.75" x14ac:dyDescent="0.25">
      <c r="B12" s="114" t="s">
        <v>205</v>
      </c>
      <c r="C12" s="114"/>
      <c r="D12" s="114"/>
      <c r="E12" s="114"/>
      <c r="F12" s="114"/>
      <c r="G12" s="114"/>
      <c r="H12" s="114"/>
      <c r="I12" s="114"/>
    </row>
    <row r="13" spans="1:9" s="1" customFormat="1" ht="13.5" customHeight="1" thickBot="1" x14ac:dyDescent="0.3">
      <c r="A13" s="1" t="s">
        <v>121</v>
      </c>
    </row>
    <row r="14" spans="1:9" s="1" customFormat="1" ht="16.5" thickBot="1" x14ac:dyDescent="0.3">
      <c r="B14" s="115" t="s">
        <v>33</v>
      </c>
      <c r="C14" s="118" t="s">
        <v>86</v>
      </c>
      <c r="D14" s="119"/>
      <c r="E14" s="119"/>
      <c r="F14" s="119"/>
      <c r="G14" s="119"/>
      <c r="H14" s="119"/>
      <c r="I14" s="120"/>
    </row>
    <row r="15" spans="1:9" s="1" customFormat="1" ht="16.5" thickBot="1" x14ac:dyDescent="0.3">
      <c r="B15" s="116"/>
      <c r="C15" s="121" t="s">
        <v>87</v>
      </c>
      <c r="D15" s="123" t="s">
        <v>88</v>
      </c>
      <c r="E15" s="124"/>
      <c r="F15" s="124"/>
      <c r="G15" s="124"/>
      <c r="H15" s="124"/>
      <c r="I15" s="125"/>
    </row>
    <row r="16" spans="1:9" s="1" customFormat="1" ht="16.5" thickBot="1" x14ac:dyDescent="0.3">
      <c r="B16" s="117"/>
      <c r="C16" s="122"/>
      <c r="D16" s="103" t="s">
        <v>38</v>
      </c>
      <c r="E16" s="103" t="s">
        <v>43</v>
      </c>
      <c r="F16" s="103" t="s">
        <v>39</v>
      </c>
      <c r="G16" s="103" t="s">
        <v>150</v>
      </c>
      <c r="H16" s="103" t="s">
        <v>152</v>
      </c>
      <c r="I16" s="103" t="s">
        <v>151</v>
      </c>
    </row>
    <row r="17" spans="2:13" s="102" customFormat="1" ht="11.25" customHeight="1" thickBot="1" x14ac:dyDescent="0.3">
      <c r="B17" s="5" t="s">
        <v>89</v>
      </c>
      <c r="C17" s="5" t="s">
        <v>90</v>
      </c>
      <c r="D17" s="5" t="s">
        <v>91</v>
      </c>
      <c r="E17" s="5" t="s">
        <v>92</v>
      </c>
      <c r="F17" s="5" t="s">
        <v>93</v>
      </c>
      <c r="G17" s="5" t="s">
        <v>94</v>
      </c>
      <c r="H17" s="5" t="s">
        <v>95</v>
      </c>
      <c r="I17" s="5" t="s">
        <v>96</v>
      </c>
    </row>
    <row r="18" spans="2:13" s="1" customFormat="1" ht="20.25" customHeight="1" thickBot="1" x14ac:dyDescent="0.3">
      <c r="B18" s="126" t="s">
        <v>179</v>
      </c>
      <c r="C18" s="127"/>
      <c r="D18" s="127"/>
      <c r="E18" s="127"/>
      <c r="F18" s="127"/>
      <c r="G18" s="127"/>
      <c r="H18" s="127"/>
      <c r="I18" s="128"/>
    </row>
    <row r="19" spans="2:13" s="1" customFormat="1" ht="20.25" customHeight="1" thickBot="1" x14ac:dyDescent="0.3">
      <c r="B19" s="6" t="s">
        <v>97</v>
      </c>
      <c r="C19" s="6">
        <f>SUM(D19:I19)</f>
        <v>9629870</v>
      </c>
      <c r="D19" s="6">
        <f>SUM(D20:D23)</f>
        <v>1319258.0999999999</v>
      </c>
      <c r="E19" s="6">
        <f t="shared" ref="E19:H19" si="0">SUM(E20:E23)</f>
        <v>1496822.8</v>
      </c>
      <c r="F19" s="6">
        <f>SUM(F20:F23)</f>
        <v>1845547.6</v>
      </c>
      <c r="G19" s="6">
        <f>SUM(G20:G23)</f>
        <v>1919093.4000000001</v>
      </c>
      <c r="H19" s="6">
        <f t="shared" si="0"/>
        <v>1536886.7</v>
      </c>
      <c r="I19" s="6">
        <f>SUM(I20:I23)</f>
        <v>1512261.4000000001</v>
      </c>
      <c r="M19" s="59"/>
    </row>
    <row r="20" spans="2:13" s="1" customFormat="1" ht="20.25" customHeight="1" thickBot="1" x14ac:dyDescent="0.3">
      <c r="B20" s="7" t="s">
        <v>98</v>
      </c>
      <c r="C20" s="6">
        <f>SUM(D20:I20)</f>
        <v>1835863.4000000001</v>
      </c>
      <c r="D20" s="6">
        <f>D26+D32+D38+D44+D56+D50+D62</f>
        <v>261493.7</v>
      </c>
      <c r="E20" s="6">
        <f>E26+E32+E38+E44+E56+E50+E62</f>
        <v>306799.00000000006</v>
      </c>
      <c r="F20" s="6">
        <f t="shared" ref="F20:I20" si="1">F26+F32+F38+F44+F56+F50+F62</f>
        <v>388950.2</v>
      </c>
      <c r="G20" s="6">
        <f t="shared" si="1"/>
        <v>403765.20000000007</v>
      </c>
      <c r="H20" s="6">
        <f t="shared" si="1"/>
        <v>231892.1</v>
      </c>
      <c r="I20" s="6">
        <f t="shared" si="1"/>
        <v>242963.19999999998</v>
      </c>
    </row>
    <row r="21" spans="2:13" s="1" customFormat="1" ht="20.25" customHeight="1" thickBot="1" x14ac:dyDescent="0.3">
      <c r="B21" s="7" t="s">
        <v>46</v>
      </c>
      <c r="C21" s="6">
        <f t="shared" ref="C21:C23" si="2">SUM(D21:I21)</f>
        <v>7351949.2000000011</v>
      </c>
      <c r="D21" s="6">
        <f t="shared" ref="D21:I23" si="3">D27+D33+D39+D45+D57+D51+D63</f>
        <v>1053689</v>
      </c>
      <c r="E21" s="6">
        <f>E27+E33+E39+E45+E57+E51+E63</f>
        <v>1144307.8</v>
      </c>
      <c r="F21" s="6">
        <f t="shared" si="3"/>
        <v>1355407.6</v>
      </c>
      <c r="G21" s="6">
        <f t="shared" si="3"/>
        <v>1409308.5</v>
      </c>
      <c r="H21" s="6">
        <f t="shared" si="3"/>
        <v>1213661.2</v>
      </c>
      <c r="I21" s="6">
        <f t="shared" si="3"/>
        <v>1175575.1000000001</v>
      </c>
    </row>
    <row r="22" spans="2:13" s="1" customFormat="1" ht="20.25" customHeight="1" thickBot="1" x14ac:dyDescent="0.3">
      <c r="B22" s="8" t="s">
        <v>99</v>
      </c>
      <c r="C22" s="6">
        <f t="shared" si="2"/>
        <v>403729.4</v>
      </c>
      <c r="D22" s="6">
        <f t="shared" si="3"/>
        <v>0</v>
      </c>
      <c r="E22" s="6">
        <f t="shared" si="3"/>
        <v>37568.800000000003</v>
      </c>
      <c r="F22" s="6">
        <f t="shared" si="3"/>
        <v>90451.6</v>
      </c>
      <c r="G22" s="6">
        <f>G28+G34+G40+G46+G58+G52+G64</f>
        <v>90652.5</v>
      </c>
      <c r="H22" s="6">
        <f t="shared" si="3"/>
        <v>91333.4</v>
      </c>
      <c r="I22" s="6">
        <f t="shared" si="3"/>
        <v>93723.1</v>
      </c>
    </row>
    <row r="23" spans="2:13" s="1" customFormat="1" ht="20.25" customHeight="1" thickBot="1" x14ac:dyDescent="0.3">
      <c r="B23" s="7" t="s">
        <v>6</v>
      </c>
      <c r="C23" s="6">
        <f t="shared" si="2"/>
        <v>38328</v>
      </c>
      <c r="D23" s="6">
        <f t="shared" si="3"/>
        <v>4075.3999999999996</v>
      </c>
      <c r="E23" s="6">
        <f t="shared" si="3"/>
        <v>8147.2</v>
      </c>
      <c r="F23" s="6">
        <f t="shared" si="3"/>
        <v>10738.199999999999</v>
      </c>
      <c r="G23" s="6">
        <f t="shared" si="3"/>
        <v>15367.2</v>
      </c>
      <c r="H23" s="6">
        <f t="shared" si="3"/>
        <v>0</v>
      </c>
      <c r="I23" s="6">
        <f t="shared" si="3"/>
        <v>0</v>
      </c>
    </row>
    <row r="24" spans="2:13" s="1" customFormat="1" ht="20.25" customHeight="1" thickBot="1" x14ac:dyDescent="0.3">
      <c r="B24" s="110" t="s">
        <v>100</v>
      </c>
      <c r="C24" s="111"/>
      <c r="D24" s="111"/>
      <c r="E24" s="111"/>
      <c r="F24" s="111"/>
      <c r="G24" s="111"/>
      <c r="H24" s="111"/>
      <c r="I24" s="112"/>
    </row>
    <row r="25" spans="2:13" s="1" customFormat="1" ht="20.25" customHeight="1" thickBot="1" x14ac:dyDescent="0.3">
      <c r="B25" s="6" t="s">
        <v>97</v>
      </c>
      <c r="C25" s="6">
        <f>SUM(D25:I25)</f>
        <v>2795992.5</v>
      </c>
      <c r="D25" s="6">
        <f>SUM(D26:D29)</f>
        <v>377577.6</v>
      </c>
      <c r="E25" s="6">
        <f t="shared" ref="E25:I25" si="4">SUM(E26:E29)</f>
        <v>449353</v>
      </c>
      <c r="F25" s="6">
        <f t="shared" si="4"/>
        <v>573103.1</v>
      </c>
      <c r="G25" s="6">
        <f t="shared" si="4"/>
        <v>527000.6</v>
      </c>
      <c r="H25" s="6">
        <f t="shared" si="4"/>
        <v>460332.10000000003</v>
      </c>
      <c r="I25" s="6">
        <f t="shared" si="4"/>
        <v>408626.10000000003</v>
      </c>
      <c r="L25" s="59"/>
    </row>
    <row r="26" spans="2:13" s="1" customFormat="1" ht="20.25" customHeight="1" thickBot="1" x14ac:dyDescent="0.3">
      <c r="B26" s="7" t="s">
        <v>98</v>
      </c>
      <c r="C26" s="6">
        <f t="shared" ref="C26" si="5">SUM(D26:I26)</f>
        <v>541020.6</v>
      </c>
      <c r="D26" s="7">
        <f>'ДОУ Подп 1'!G118</f>
        <v>73742.3</v>
      </c>
      <c r="E26" s="7">
        <f>'ДОУ Подп 1'!H118</f>
        <v>90188.5</v>
      </c>
      <c r="F26" s="7">
        <f>'ДОУ Подп 1'!I118</f>
        <v>119824.40000000001</v>
      </c>
      <c r="G26" s="7">
        <f>'ДОУ Подп 1'!J118</f>
        <v>114560.3</v>
      </c>
      <c r="H26" s="7">
        <f>'ДОУ Подп 1'!K118</f>
        <v>77368.400000000009</v>
      </c>
      <c r="I26" s="7">
        <f>'ДОУ Подп 1'!L118</f>
        <v>65336.7</v>
      </c>
    </row>
    <row r="27" spans="2:13" s="1" customFormat="1" ht="20.25" customHeight="1" thickBot="1" x14ac:dyDescent="0.3">
      <c r="B27" s="7" t="s">
        <v>46</v>
      </c>
      <c r="C27" s="6">
        <f>SUM(D27:I27)</f>
        <v>2239606.8000000003</v>
      </c>
      <c r="D27" s="7">
        <f>'ДОУ Подп 1'!G119</f>
        <v>301996.5</v>
      </c>
      <c r="E27" s="7">
        <f>'ДОУ Подп 1'!H119</f>
        <v>358131</v>
      </c>
      <c r="F27" s="7">
        <f>'ДОУ Подп 1'!I119</f>
        <v>447803.1</v>
      </c>
      <c r="G27" s="7">
        <f>'ДОУ Подп 1'!J119</f>
        <v>405423.1</v>
      </c>
      <c r="H27" s="7">
        <f>'ДОУ Подп 1'!K119</f>
        <v>382963.7</v>
      </c>
      <c r="I27" s="7">
        <f>'ДОУ Подп 1'!L119</f>
        <v>343289.4</v>
      </c>
    </row>
    <row r="28" spans="2:13" s="1" customFormat="1" ht="20.25" customHeight="1" thickBot="1" x14ac:dyDescent="0.3">
      <c r="B28" s="8" t="s">
        <v>99</v>
      </c>
      <c r="C28" s="6">
        <f t="shared" ref="C28:C29" si="6">SUM(D28:I28)</f>
        <v>0</v>
      </c>
      <c r="D28" s="7">
        <f>'ДОУ Подп 1'!G120</f>
        <v>0</v>
      </c>
      <c r="E28" s="7">
        <f>'ДОУ Подп 1'!H120</f>
        <v>0</v>
      </c>
      <c r="F28" s="7">
        <f>'ДОУ Подп 1'!I120</f>
        <v>0</v>
      </c>
      <c r="G28" s="7">
        <f>'ДОУ Подп 1'!J120</f>
        <v>0</v>
      </c>
      <c r="H28" s="7">
        <f>'ДОУ Подп 1'!K120</f>
        <v>0</v>
      </c>
      <c r="I28" s="7">
        <f>'ДОУ Подп 1'!L120</f>
        <v>0</v>
      </c>
    </row>
    <row r="29" spans="2:13" s="1" customFormat="1" ht="20.25" customHeight="1" thickBot="1" x14ac:dyDescent="0.3">
      <c r="B29" s="7" t="s">
        <v>6</v>
      </c>
      <c r="C29" s="6">
        <f t="shared" si="6"/>
        <v>15365.100000000002</v>
      </c>
      <c r="D29" s="7">
        <f>'ДОУ Подп 1'!G121</f>
        <v>1838.8</v>
      </c>
      <c r="E29" s="7">
        <f>'ДОУ Подп 1'!H121</f>
        <v>1033.5</v>
      </c>
      <c r="F29" s="7">
        <f>'ДОУ Подп 1'!I121</f>
        <v>5475.6</v>
      </c>
      <c r="G29" s="7">
        <f>'ДОУ Подп 1'!J121</f>
        <v>7017.2</v>
      </c>
      <c r="H29" s="7">
        <f>'ДОУ Подп 1'!K121</f>
        <v>0</v>
      </c>
      <c r="I29" s="7">
        <f>'ДОУ Подп 1'!L121</f>
        <v>0</v>
      </c>
    </row>
    <row r="30" spans="2:13" s="1" customFormat="1" ht="20.25" customHeight="1" thickBot="1" x14ac:dyDescent="0.3">
      <c r="B30" s="110" t="s">
        <v>101</v>
      </c>
      <c r="C30" s="111"/>
      <c r="D30" s="111"/>
      <c r="E30" s="111"/>
      <c r="F30" s="111"/>
      <c r="G30" s="111"/>
      <c r="H30" s="111"/>
      <c r="I30" s="112"/>
    </row>
    <row r="31" spans="2:13" s="1" customFormat="1" ht="20.25" customHeight="1" thickBot="1" x14ac:dyDescent="0.3">
      <c r="B31" s="6" t="s">
        <v>97</v>
      </c>
      <c r="C31" s="6">
        <f>SUM(D31:I31)</f>
        <v>6231194.6000000006</v>
      </c>
      <c r="D31" s="6">
        <f>SUM(D32:D35)</f>
        <v>855355.2</v>
      </c>
      <c r="E31" s="6">
        <f>SUM(E32:E35)</f>
        <v>965004</v>
      </c>
      <c r="F31" s="6">
        <f>SUM(F32:F35)</f>
        <v>1182508.2000000002</v>
      </c>
      <c r="G31" s="6">
        <f t="shared" ref="G31:I31" si="7">SUM(G32:G35)</f>
        <v>1275017.5</v>
      </c>
      <c r="H31" s="6">
        <f t="shared" si="7"/>
        <v>962693.29999999993</v>
      </c>
      <c r="I31" s="6">
        <f t="shared" si="7"/>
        <v>990616.4</v>
      </c>
    </row>
    <row r="32" spans="2:13" s="1" customFormat="1" ht="20.25" customHeight="1" thickBot="1" x14ac:dyDescent="0.3">
      <c r="B32" s="7" t="s">
        <v>98</v>
      </c>
      <c r="C32" s="6">
        <f t="shared" ref="C32:C35" si="8">SUM(D32:I32)</f>
        <v>904323.10000000009</v>
      </c>
      <c r="D32" s="7">
        <f>+'СОШ Подп 2'!G203</f>
        <v>135510.6</v>
      </c>
      <c r="E32" s="7">
        <f>+'СОШ Подп 2'!H203</f>
        <v>168532.80000000005</v>
      </c>
      <c r="F32" s="7">
        <f>+'СОШ Подп 2'!I203</f>
        <v>212747.60000000003</v>
      </c>
      <c r="G32" s="7">
        <f>+'СОШ Подп 2'!J203</f>
        <v>212518.80000000002</v>
      </c>
      <c r="H32" s="7">
        <f>+'СОШ Подп 2'!K203</f>
        <v>76567.799999999988</v>
      </c>
      <c r="I32" s="7">
        <f>+'СОШ Подп 2'!L203</f>
        <v>98445.499999999985</v>
      </c>
    </row>
    <row r="33" spans="2:9" s="1" customFormat="1" ht="20.25" customHeight="1" thickBot="1" x14ac:dyDescent="0.3">
      <c r="B33" s="7" t="s">
        <v>46</v>
      </c>
      <c r="C33" s="6">
        <f t="shared" si="8"/>
        <v>4902298.1000000006</v>
      </c>
      <c r="D33" s="7">
        <f>+'СОШ Подп 2'!G204</f>
        <v>717608</v>
      </c>
      <c r="E33" s="7">
        <f>+'СОШ Подп 2'!H204</f>
        <v>753788.7</v>
      </c>
      <c r="F33" s="7">
        <f>+'СОШ Подп 2'!I204</f>
        <v>874165.30000000016</v>
      </c>
      <c r="G33" s="7">
        <f>+'СОШ Подп 2'!J204</f>
        <v>963496.20000000007</v>
      </c>
      <c r="H33" s="7">
        <f>+'СОШ Подп 2'!K204</f>
        <v>794792.1</v>
      </c>
      <c r="I33" s="7">
        <f>+'СОШ Подп 2'!L204</f>
        <v>798447.8</v>
      </c>
    </row>
    <row r="34" spans="2:9" s="1" customFormat="1" ht="20.25" customHeight="1" thickBot="1" x14ac:dyDescent="0.3">
      <c r="B34" s="8" t="s">
        <v>99</v>
      </c>
      <c r="C34" s="6">
        <f t="shared" si="8"/>
        <v>403729.4</v>
      </c>
      <c r="D34" s="7">
        <f>+'СОШ Подп 2'!G205</f>
        <v>0</v>
      </c>
      <c r="E34" s="7">
        <f>+'СОШ Подп 2'!H205</f>
        <v>37568.800000000003</v>
      </c>
      <c r="F34" s="7">
        <f>+'СОШ Подп 2'!I205</f>
        <v>90451.6</v>
      </c>
      <c r="G34" s="7">
        <f>+'СОШ Подп 2'!J205</f>
        <v>90652.5</v>
      </c>
      <c r="H34" s="7">
        <f>+'СОШ Подп 2'!K205</f>
        <v>91333.4</v>
      </c>
      <c r="I34" s="7">
        <f>+'СОШ Подп 2'!L205</f>
        <v>93723.1</v>
      </c>
    </row>
    <row r="35" spans="2:9" s="1" customFormat="1" ht="20.25" customHeight="1" thickBot="1" x14ac:dyDescent="0.3">
      <c r="B35" s="7" t="s">
        <v>6</v>
      </c>
      <c r="C35" s="6">
        <f t="shared" si="8"/>
        <v>20844</v>
      </c>
      <c r="D35" s="7">
        <f>+'СОШ Подп 2'!G206</f>
        <v>2236.6</v>
      </c>
      <c r="E35" s="7">
        <f>+'СОШ Подп 2'!H206</f>
        <v>5113.7</v>
      </c>
      <c r="F35" s="7">
        <f>+'СОШ Подп 2'!I206</f>
        <v>5143.7</v>
      </c>
      <c r="G35" s="7">
        <f>+'СОШ Подп 2'!J206</f>
        <v>8350</v>
      </c>
      <c r="H35" s="7">
        <f>+'СОШ Подп 2'!K206</f>
        <v>0</v>
      </c>
      <c r="I35" s="7">
        <f>+'СОШ Подп 2'!L206</f>
        <v>0</v>
      </c>
    </row>
    <row r="36" spans="2:9" s="1" customFormat="1" ht="20.25" customHeight="1" thickBot="1" x14ac:dyDescent="0.3">
      <c r="B36" s="110" t="s">
        <v>102</v>
      </c>
      <c r="C36" s="111"/>
      <c r="D36" s="111"/>
      <c r="E36" s="111"/>
      <c r="F36" s="111"/>
      <c r="G36" s="111"/>
      <c r="H36" s="111"/>
      <c r="I36" s="112"/>
    </row>
    <row r="37" spans="2:9" s="1" customFormat="1" ht="20.25" customHeight="1" thickBot="1" x14ac:dyDescent="0.3">
      <c r="B37" s="6" t="s">
        <v>97</v>
      </c>
      <c r="C37" s="6">
        <f>SUM(D37:I37)</f>
        <v>280927.40000000002</v>
      </c>
      <c r="D37" s="6">
        <f>SUM(D38:D41)</f>
        <v>36669.5</v>
      </c>
      <c r="E37" s="6">
        <f t="shared" ref="E37:I37" si="9">SUM(E38:E41)</f>
        <v>41449.800000000003</v>
      </c>
      <c r="F37" s="9">
        <f t="shared" si="9"/>
        <v>44769.1</v>
      </c>
      <c r="G37" s="6">
        <f t="shared" si="9"/>
        <v>56912.5</v>
      </c>
      <c r="H37" s="6">
        <f t="shared" si="9"/>
        <v>50964.5</v>
      </c>
      <c r="I37" s="6">
        <f t="shared" si="9"/>
        <v>50162</v>
      </c>
    </row>
    <row r="38" spans="2:9" s="1" customFormat="1" ht="20.25" customHeight="1" thickBot="1" x14ac:dyDescent="0.3">
      <c r="B38" s="7" t="s">
        <v>98</v>
      </c>
      <c r="C38" s="6">
        <f t="shared" ref="C38:C41" si="10">SUM(D38:I38)</f>
        <v>210566.9</v>
      </c>
      <c r="D38" s="7">
        <f>'ДОП Подп 3'!G99</f>
        <v>30748.400000000001</v>
      </c>
      <c r="E38" s="7">
        <f>'ДОП Подп 3'!H99</f>
        <v>30350</v>
      </c>
      <c r="F38" s="7">
        <f>'ДОП Подп 3'!I99</f>
        <v>29841.8</v>
      </c>
      <c r="G38" s="7">
        <f>'ДОП Подп 3'!J99</f>
        <v>39326.699999999997</v>
      </c>
      <c r="H38" s="7">
        <f>'ДОП Подп 3'!K99</f>
        <v>40072</v>
      </c>
      <c r="I38" s="7">
        <f>'ДОП Подп 3'!L99</f>
        <v>40228</v>
      </c>
    </row>
    <row r="39" spans="2:9" s="1" customFormat="1" ht="20.25" customHeight="1" thickBot="1" x14ac:dyDescent="0.3">
      <c r="B39" s="7" t="s">
        <v>46</v>
      </c>
      <c r="C39" s="6">
        <f t="shared" si="10"/>
        <v>70360.5</v>
      </c>
      <c r="D39" s="7">
        <f>'ДОП Подп 3'!G100</f>
        <v>5921.1</v>
      </c>
      <c r="E39" s="7">
        <f>'ДОП Подп 3'!H100</f>
        <v>11099.8</v>
      </c>
      <c r="F39" s="7">
        <f>'ДОП Подп 3'!I100</f>
        <v>14927.3</v>
      </c>
      <c r="G39" s="7">
        <f>'ДОП Подп 3'!J100</f>
        <v>17585.8</v>
      </c>
      <c r="H39" s="7">
        <f>'ДОП Подп 3'!K100</f>
        <v>10892.5</v>
      </c>
      <c r="I39" s="7">
        <f>'ДОП Подп 3'!L100</f>
        <v>9934</v>
      </c>
    </row>
    <row r="40" spans="2:9" s="1" customFormat="1" ht="20.25" customHeight="1" thickBot="1" x14ac:dyDescent="0.3">
      <c r="B40" s="8" t="s">
        <v>99</v>
      </c>
      <c r="C40" s="6">
        <f t="shared" si="10"/>
        <v>0</v>
      </c>
      <c r="D40" s="7">
        <f>'ДОП Подп 3'!G101</f>
        <v>0</v>
      </c>
      <c r="E40" s="7">
        <f>'ДОП Подп 3'!H101</f>
        <v>0</v>
      </c>
      <c r="F40" s="7">
        <f>'ДОП Подп 3'!I101</f>
        <v>0</v>
      </c>
      <c r="G40" s="7">
        <f>'ДОП Подп 3'!J101</f>
        <v>0</v>
      </c>
      <c r="H40" s="7">
        <f>'ДОП Подп 3'!K101</f>
        <v>0</v>
      </c>
      <c r="I40" s="7">
        <f>'ДОП Подп 3'!L101</f>
        <v>0</v>
      </c>
    </row>
    <row r="41" spans="2:9" s="1" customFormat="1" ht="20.25" customHeight="1" thickBot="1" x14ac:dyDescent="0.3">
      <c r="B41" s="7" t="s">
        <v>6</v>
      </c>
      <c r="C41" s="6">
        <f t="shared" si="10"/>
        <v>0</v>
      </c>
      <c r="D41" s="7">
        <f>'ДОП Подп 3'!G102</f>
        <v>0</v>
      </c>
      <c r="E41" s="7">
        <f>'ДОП Подп 3'!H102</f>
        <v>0</v>
      </c>
      <c r="F41" s="7">
        <f>'ДОП Подп 3'!I102</f>
        <v>0</v>
      </c>
      <c r="G41" s="7">
        <f>'ДОП Подп 3'!J102</f>
        <v>0</v>
      </c>
      <c r="H41" s="7">
        <f>'ДОП Подп 3'!K102</f>
        <v>0</v>
      </c>
      <c r="I41" s="7">
        <f>'ДОП Подп 3'!L102</f>
        <v>0</v>
      </c>
    </row>
    <row r="42" spans="2:9" s="1" customFormat="1" ht="20.25" customHeight="1" thickBot="1" x14ac:dyDescent="0.3">
      <c r="B42" s="110" t="s">
        <v>103</v>
      </c>
      <c r="C42" s="111"/>
      <c r="D42" s="111"/>
      <c r="E42" s="111"/>
      <c r="F42" s="111"/>
      <c r="G42" s="111"/>
      <c r="H42" s="111"/>
      <c r="I42" s="112"/>
    </row>
    <row r="43" spans="2:9" s="1" customFormat="1" ht="20.25" customHeight="1" thickBot="1" x14ac:dyDescent="0.3">
      <c r="B43" s="6" t="s">
        <v>97</v>
      </c>
      <c r="C43" s="6">
        <f>SUM(D43:I43)</f>
        <v>188210.9</v>
      </c>
      <c r="D43" s="6">
        <f>SUM(D44:D47)</f>
        <v>35577.600000000006</v>
      </c>
      <c r="E43" s="6">
        <f t="shared" ref="E43:I43" si="11">SUM(E44:E47)</f>
        <v>21234</v>
      </c>
      <c r="F43" s="9">
        <f t="shared" si="11"/>
        <v>25509.199999999997</v>
      </c>
      <c r="G43" s="6">
        <f t="shared" si="11"/>
        <v>33348.300000000003</v>
      </c>
      <c r="H43" s="6">
        <f t="shared" si="11"/>
        <v>36015.9</v>
      </c>
      <c r="I43" s="6">
        <f t="shared" si="11"/>
        <v>36525.9</v>
      </c>
    </row>
    <row r="44" spans="2:9" s="1" customFormat="1" ht="20.25" customHeight="1" thickBot="1" x14ac:dyDescent="0.3">
      <c r="B44" s="7" t="s">
        <v>98</v>
      </c>
      <c r="C44" s="6">
        <f t="shared" ref="C44:C47" si="12">SUM(D44:I44)</f>
        <v>64458.5</v>
      </c>
      <c r="D44" s="7">
        <f>'Оздор Подп 4'!G88</f>
        <v>8988.7999999999993</v>
      </c>
      <c r="E44" s="7">
        <f>'Оздор Подп 4'!H88</f>
        <v>2247.7999999999997</v>
      </c>
      <c r="F44" s="7">
        <f>'Оздор Подп 4'!I88</f>
        <v>11058.999999999998</v>
      </c>
      <c r="G44" s="7">
        <f>'Оздор Подп 4'!J88</f>
        <v>13578.900000000001</v>
      </c>
      <c r="H44" s="7">
        <f>'Оздор Подп 4'!K88</f>
        <v>14037.000000000002</v>
      </c>
      <c r="I44" s="7">
        <f>'Оздор Подп 4'!L88</f>
        <v>14547.000000000002</v>
      </c>
    </row>
    <row r="45" spans="2:9" s="1" customFormat="1" ht="20.25" customHeight="1" thickBot="1" x14ac:dyDescent="0.3">
      <c r="B45" s="7" t="s">
        <v>46</v>
      </c>
      <c r="C45" s="6">
        <f t="shared" si="12"/>
        <v>123752.39999999998</v>
      </c>
      <c r="D45" s="7">
        <f>'Оздор Подп 4'!G89</f>
        <v>26588.800000000003</v>
      </c>
      <c r="E45" s="7">
        <f>'Оздор Подп 4'!H89</f>
        <v>18986.2</v>
      </c>
      <c r="F45" s="7">
        <f>'Оздор Подп 4'!I89</f>
        <v>14450.199999999999</v>
      </c>
      <c r="G45" s="7">
        <f>'Оздор Подп 4'!J89</f>
        <v>19769.399999999998</v>
      </c>
      <c r="H45" s="7">
        <f>'Оздор Подп 4'!K89</f>
        <v>21978.899999999998</v>
      </c>
      <c r="I45" s="7">
        <f>'Оздор Подп 4'!L89</f>
        <v>21978.899999999998</v>
      </c>
    </row>
    <row r="46" spans="2:9" s="1" customFormat="1" ht="20.25" customHeight="1" thickBot="1" x14ac:dyDescent="0.3">
      <c r="B46" s="8" t="s">
        <v>99</v>
      </c>
      <c r="C46" s="6">
        <f t="shared" si="12"/>
        <v>0</v>
      </c>
      <c r="D46" s="7">
        <f>'Оздор Подп 4'!G90</f>
        <v>0</v>
      </c>
      <c r="E46" s="7">
        <f>'Оздор Подп 4'!H90</f>
        <v>0</v>
      </c>
      <c r="F46" s="7">
        <f>'Оздор Подп 4'!I90</f>
        <v>0</v>
      </c>
      <c r="G46" s="7">
        <f>'Оздор Подп 4'!J90</f>
        <v>0</v>
      </c>
      <c r="H46" s="7">
        <f>'Оздор Подп 4'!K90</f>
        <v>0</v>
      </c>
      <c r="I46" s="7">
        <f>'Оздор Подп 4'!L90</f>
        <v>0</v>
      </c>
    </row>
    <row r="47" spans="2:9" s="1" customFormat="1" ht="20.25" customHeight="1" thickBot="1" x14ac:dyDescent="0.3">
      <c r="B47" s="7" t="s">
        <v>6</v>
      </c>
      <c r="C47" s="6">
        <f t="shared" si="12"/>
        <v>0</v>
      </c>
      <c r="D47" s="7">
        <f>'Оздор Подп 4'!G91</f>
        <v>0</v>
      </c>
      <c r="E47" s="7">
        <f>'Оздор Подп 4'!H91</f>
        <v>0</v>
      </c>
      <c r="F47" s="7">
        <f>'Оздор Подп 4'!I91</f>
        <v>0</v>
      </c>
      <c r="G47" s="7">
        <f>'Оздор Подп 4'!J91</f>
        <v>0</v>
      </c>
      <c r="H47" s="7">
        <f>'Оздор Подп 4'!K91</f>
        <v>0</v>
      </c>
      <c r="I47" s="7">
        <f>'Оздор Подп 4'!L91</f>
        <v>0</v>
      </c>
    </row>
    <row r="48" spans="2:9" s="1" customFormat="1" ht="20.25" customHeight="1" thickBot="1" x14ac:dyDescent="0.3">
      <c r="B48" s="110" t="s">
        <v>104</v>
      </c>
      <c r="C48" s="111"/>
      <c r="D48" s="111"/>
      <c r="E48" s="111"/>
      <c r="F48" s="111"/>
      <c r="G48" s="111"/>
      <c r="H48" s="111"/>
      <c r="I48" s="112"/>
    </row>
    <row r="49" spans="2:9" s="1" customFormat="1" ht="20.25" customHeight="1" thickBot="1" x14ac:dyDescent="0.3">
      <c r="B49" s="6" t="s">
        <v>97</v>
      </c>
      <c r="C49" s="6">
        <f>SUM(D49:I49)</f>
        <v>50013.2</v>
      </c>
      <c r="D49" s="6">
        <f>SUM(D50:D53)</f>
        <v>4717.2</v>
      </c>
      <c r="E49" s="6">
        <f t="shared" ref="E49:I49" si="13">SUM(E50:E53)</f>
        <v>7840</v>
      </c>
      <c r="F49" s="9">
        <f t="shared" si="13"/>
        <v>5248</v>
      </c>
      <c r="G49" s="6">
        <f t="shared" si="13"/>
        <v>9691</v>
      </c>
      <c r="H49" s="6">
        <f t="shared" si="13"/>
        <v>11903</v>
      </c>
      <c r="I49" s="6">
        <f t="shared" si="13"/>
        <v>10614</v>
      </c>
    </row>
    <row r="50" spans="2:9" s="1" customFormat="1" ht="20.25" customHeight="1" thickBot="1" x14ac:dyDescent="0.3">
      <c r="B50" s="7" t="s">
        <v>98</v>
      </c>
      <c r="C50" s="6">
        <f t="shared" ref="C50:C53" si="14">SUM(D50:I50)</f>
        <v>47894.3</v>
      </c>
      <c r="D50" s="7">
        <f>'Ком Подп 5'!G63</f>
        <v>4717.2</v>
      </c>
      <c r="E50" s="7">
        <f>'Ком Подп 5'!H63</f>
        <v>5840</v>
      </c>
      <c r="F50" s="7">
        <f>'Ком Подп 5'!I63</f>
        <v>5129.1000000000004</v>
      </c>
      <c r="G50" s="7">
        <f>'Ком Подп 5'!J63</f>
        <v>9691</v>
      </c>
      <c r="H50" s="7">
        <f>'Ком Подп 5'!K63</f>
        <v>11903</v>
      </c>
      <c r="I50" s="7">
        <f>'Ком Подп 5'!L63</f>
        <v>10614</v>
      </c>
    </row>
    <row r="51" spans="2:9" s="1" customFormat="1" ht="20.25" customHeight="1" thickBot="1" x14ac:dyDescent="0.3">
      <c r="B51" s="7" t="s">
        <v>46</v>
      </c>
      <c r="C51" s="6">
        <f t="shared" si="14"/>
        <v>0</v>
      </c>
      <c r="D51" s="7">
        <f>'Ком Подп 5'!G64</f>
        <v>0</v>
      </c>
      <c r="E51" s="7">
        <f>'Ком Подп 5'!H64</f>
        <v>0</v>
      </c>
      <c r="F51" s="7">
        <f>'Ком Подп 5'!I64</f>
        <v>0</v>
      </c>
      <c r="G51" s="7">
        <f>'Ком Подп 5'!J64</f>
        <v>0</v>
      </c>
      <c r="H51" s="7">
        <f>'Ком Подп 5'!K64</f>
        <v>0</v>
      </c>
      <c r="I51" s="7">
        <f>'Ком Подп 5'!L64</f>
        <v>0</v>
      </c>
    </row>
    <row r="52" spans="2:9" s="1" customFormat="1" ht="20.25" customHeight="1" thickBot="1" x14ac:dyDescent="0.3">
      <c r="B52" s="8" t="s">
        <v>99</v>
      </c>
      <c r="C52" s="6">
        <f t="shared" si="14"/>
        <v>0</v>
      </c>
      <c r="D52" s="7">
        <f>'Ком Подп 5'!G65</f>
        <v>0</v>
      </c>
      <c r="E52" s="7">
        <f>'Ком Подп 5'!H65</f>
        <v>0</v>
      </c>
      <c r="F52" s="7">
        <f>'Ком Подп 5'!I65</f>
        <v>0</v>
      </c>
      <c r="G52" s="7">
        <f>'Ком Подп 5'!J65</f>
        <v>0</v>
      </c>
      <c r="H52" s="7">
        <f>'Ком Подп 5'!K65</f>
        <v>0</v>
      </c>
      <c r="I52" s="7">
        <f>'Ком Подп 5'!L65</f>
        <v>0</v>
      </c>
    </row>
    <row r="53" spans="2:9" s="1" customFormat="1" ht="20.25" customHeight="1" thickBot="1" x14ac:dyDescent="0.3">
      <c r="B53" s="7" t="s">
        <v>6</v>
      </c>
      <c r="C53" s="6">
        <f t="shared" si="14"/>
        <v>2118.9</v>
      </c>
      <c r="D53" s="7">
        <f>'Ком Подп 5'!G66</f>
        <v>0</v>
      </c>
      <c r="E53" s="7">
        <f>'Ком Подп 5'!H66</f>
        <v>2000</v>
      </c>
      <c r="F53" s="7">
        <f>'Ком Подп 5'!I66</f>
        <v>118.9</v>
      </c>
      <c r="G53" s="7">
        <f>'Ком Подп 5'!J66</f>
        <v>0</v>
      </c>
      <c r="H53" s="7">
        <f>'Ком Подп 5'!K66</f>
        <v>0</v>
      </c>
      <c r="I53" s="7">
        <f>'Ком Подп 5'!L66</f>
        <v>0</v>
      </c>
    </row>
    <row r="54" spans="2:9" s="1" customFormat="1" ht="20.25" customHeight="1" thickBot="1" x14ac:dyDescent="0.3">
      <c r="B54" s="110" t="s">
        <v>105</v>
      </c>
      <c r="C54" s="111"/>
      <c r="D54" s="111"/>
      <c r="E54" s="111"/>
      <c r="F54" s="111"/>
      <c r="G54" s="111"/>
      <c r="H54" s="111"/>
      <c r="I54" s="112"/>
    </row>
    <row r="55" spans="2:9" s="1" customFormat="1" ht="20.25" customHeight="1" thickBot="1" x14ac:dyDescent="0.3">
      <c r="B55" s="6" t="s">
        <v>97</v>
      </c>
      <c r="C55" s="6">
        <f>SUM(D55:I55)</f>
        <v>69519.5</v>
      </c>
      <c r="D55" s="6">
        <f>SUM(D56:D59)</f>
        <v>9361</v>
      </c>
      <c r="E55" s="6">
        <f t="shared" ref="E55" si="15">SUM(E56:E59)</f>
        <v>11182</v>
      </c>
      <c r="F55" s="9">
        <f t="shared" ref="F55:I55" si="16">SUM(F56:F59)</f>
        <v>12683</v>
      </c>
      <c r="G55" s="6">
        <f t="shared" si="16"/>
        <v>14090.5</v>
      </c>
      <c r="H55" s="6">
        <f t="shared" si="16"/>
        <v>11573</v>
      </c>
      <c r="I55" s="6">
        <f t="shared" si="16"/>
        <v>10630</v>
      </c>
    </row>
    <row r="56" spans="2:9" s="1" customFormat="1" ht="20.25" customHeight="1" thickBot="1" x14ac:dyDescent="0.3">
      <c r="B56" s="7" t="s">
        <v>98</v>
      </c>
      <c r="C56" s="6">
        <f t="shared" ref="C56:C59" si="17">SUM(D56:I56)</f>
        <v>53588.1</v>
      </c>
      <c r="D56" s="7">
        <f>'Ресур Подп 6'!G44</f>
        <v>7786.4</v>
      </c>
      <c r="E56" s="7">
        <f>'Ресур Подп 6'!H44</f>
        <v>8879.9</v>
      </c>
      <c r="F56" s="7">
        <f>'Ресур Подп 6'!I44</f>
        <v>8621.2999999999993</v>
      </c>
      <c r="G56" s="7">
        <f>'Ресур Подп 6'!J44</f>
        <v>11056.5</v>
      </c>
      <c r="H56" s="7">
        <f>'Ресур Подп 6'!K44</f>
        <v>8539</v>
      </c>
      <c r="I56" s="7">
        <f>'Ресур Подп 6'!L44</f>
        <v>8705</v>
      </c>
    </row>
    <row r="57" spans="2:9" s="1" customFormat="1" ht="20.25" customHeight="1" thickBot="1" x14ac:dyDescent="0.3">
      <c r="B57" s="7" t="s">
        <v>46</v>
      </c>
      <c r="C57" s="6">
        <f t="shared" si="17"/>
        <v>15931.4</v>
      </c>
      <c r="D57" s="7">
        <f>'Ресур Подп 6'!G45</f>
        <v>1574.6</v>
      </c>
      <c r="E57" s="7">
        <f>'Ресур Подп 6'!H45</f>
        <v>2302.1</v>
      </c>
      <c r="F57" s="7">
        <f>'Ресур Подп 6'!I45</f>
        <v>4061.7</v>
      </c>
      <c r="G57" s="7">
        <f>'Ресур Подп 6'!J45</f>
        <v>3034</v>
      </c>
      <c r="H57" s="7">
        <f>'Ресур Подп 6'!K45</f>
        <v>3034</v>
      </c>
      <c r="I57" s="7">
        <f>'Ресур Подп 6'!L45</f>
        <v>1925</v>
      </c>
    </row>
    <row r="58" spans="2:9" s="1" customFormat="1" ht="20.25" customHeight="1" thickBot="1" x14ac:dyDescent="0.3">
      <c r="B58" s="8" t="s">
        <v>99</v>
      </c>
      <c r="C58" s="6">
        <f t="shared" si="17"/>
        <v>0</v>
      </c>
      <c r="D58" s="7">
        <f>'Ресур Подп 6'!G46</f>
        <v>0</v>
      </c>
      <c r="E58" s="7">
        <f>'Ресур Подп 6'!H46</f>
        <v>0</v>
      </c>
      <c r="F58" s="7">
        <f>'Ресур Подп 6'!I46</f>
        <v>0</v>
      </c>
      <c r="G58" s="7">
        <f>'Ресур Подп 6'!J46</f>
        <v>0</v>
      </c>
      <c r="H58" s="7">
        <f>'Ресур Подп 6'!K46</f>
        <v>0</v>
      </c>
      <c r="I58" s="7">
        <f>'Ресур Подп 6'!L46</f>
        <v>0</v>
      </c>
    </row>
    <row r="59" spans="2:9" s="1" customFormat="1" ht="20.25" customHeight="1" thickBot="1" x14ac:dyDescent="0.3">
      <c r="B59" s="7" t="s">
        <v>6</v>
      </c>
      <c r="C59" s="6">
        <f t="shared" si="17"/>
        <v>0</v>
      </c>
      <c r="D59" s="7">
        <f>'Ресур Подп 6'!G47</f>
        <v>0</v>
      </c>
      <c r="E59" s="7">
        <f>'Ресур Подп 6'!H47</f>
        <v>0</v>
      </c>
      <c r="F59" s="7">
        <f>'Ресур Подп 6'!I47</f>
        <v>0</v>
      </c>
      <c r="G59" s="7">
        <f>'Ресур Подп 6'!J47</f>
        <v>0</v>
      </c>
      <c r="H59" s="7">
        <f>'Ресур Подп 6'!K47</f>
        <v>0</v>
      </c>
      <c r="I59" s="7">
        <f>'Ресур Подп 6'!L47</f>
        <v>0</v>
      </c>
    </row>
    <row r="60" spans="2:9" s="1" customFormat="1" ht="20.25" customHeight="1" thickBot="1" x14ac:dyDescent="0.3">
      <c r="B60" s="110" t="s">
        <v>145</v>
      </c>
      <c r="C60" s="111"/>
      <c r="D60" s="111"/>
      <c r="E60" s="111"/>
      <c r="F60" s="111"/>
      <c r="G60" s="111"/>
      <c r="H60" s="111"/>
      <c r="I60" s="112"/>
    </row>
    <row r="61" spans="2:9" s="1" customFormat="1" ht="20.25" customHeight="1" thickBot="1" x14ac:dyDescent="0.3">
      <c r="B61" s="6" t="s">
        <v>97</v>
      </c>
      <c r="C61" s="6">
        <f>SUM(D61:I61)</f>
        <v>14011.9</v>
      </c>
      <c r="D61" s="6">
        <f>SUM(D62:D65)</f>
        <v>0</v>
      </c>
      <c r="E61" s="6">
        <f t="shared" ref="E61:I61" si="18">SUM(E62:E65)</f>
        <v>760</v>
      </c>
      <c r="F61" s="9">
        <f t="shared" si="18"/>
        <v>1727</v>
      </c>
      <c r="G61" s="6">
        <f t="shared" si="18"/>
        <v>3033</v>
      </c>
      <c r="H61" s="6">
        <f t="shared" si="18"/>
        <v>3404.9</v>
      </c>
      <c r="I61" s="6">
        <f t="shared" si="18"/>
        <v>5087</v>
      </c>
    </row>
    <row r="62" spans="2:9" s="1" customFormat="1" ht="20.25" customHeight="1" thickBot="1" x14ac:dyDescent="0.3">
      <c r="B62" s="7" t="s">
        <v>98</v>
      </c>
      <c r="C62" s="6">
        <f>SUM(D62:I62)</f>
        <v>14011.9</v>
      </c>
      <c r="D62" s="7">
        <f>+'образ Подп 7'!G54</f>
        <v>0</v>
      </c>
      <c r="E62" s="7">
        <f>+'образ Подп 7'!H54</f>
        <v>760</v>
      </c>
      <c r="F62" s="7">
        <f>+'образ Подп 7'!I54</f>
        <v>1727</v>
      </c>
      <c r="G62" s="7">
        <f>+'образ Подп 7'!J54</f>
        <v>3033</v>
      </c>
      <c r="H62" s="7">
        <f>+'образ Подп 7'!K54</f>
        <v>3404.9</v>
      </c>
      <c r="I62" s="7">
        <f>+'образ Подп 7'!L54</f>
        <v>5087</v>
      </c>
    </row>
    <row r="63" spans="2:9" s="1" customFormat="1" ht="20.25" customHeight="1" thickBot="1" x14ac:dyDescent="0.3">
      <c r="B63" s="7" t="s">
        <v>46</v>
      </c>
      <c r="C63" s="6">
        <f>SUM(D63:I63)</f>
        <v>0</v>
      </c>
      <c r="D63" s="7">
        <f>+'образ Подп 7'!G55</f>
        <v>0</v>
      </c>
      <c r="E63" s="7">
        <f>+'образ Подп 7'!H55</f>
        <v>0</v>
      </c>
      <c r="F63" s="7">
        <f>+'образ Подп 7'!I55</f>
        <v>0</v>
      </c>
      <c r="G63" s="7">
        <f>+'образ Подп 7'!J55</f>
        <v>0</v>
      </c>
      <c r="H63" s="7">
        <f>+'образ Подп 7'!K55</f>
        <v>0</v>
      </c>
      <c r="I63" s="7">
        <f>+'образ Подп 7'!L55</f>
        <v>0</v>
      </c>
    </row>
    <row r="64" spans="2:9" s="1" customFormat="1" ht="20.25" customHeight="1" thickBot="1" x14ac:dyDescent="0.3">
      <c r="B64" s="8" t="s">
        <v>99</v>
      </c>
      <c r="C64" s="6">
        <f>SUM(D64:I64)</f>
        <v>0</v>
      </c>
      <c r="D64" s="7">
        <f>+'образ Подп 7'!G56</f>
        <v>0</v>
      </c>
      <c r="E64" s="7">
        <f>+'образ Подп 7'!H56</f>
        <v>0</v>
      </c>
      <c r="F64" s="7">
        <f>+'образ Подп 7'!I56</f>
        <v>0</v>
      </c>
      <c r="G64" s="7">
        <f>+'образ Подп 7'!J56</f>
        <v>0</v>
      </c>
      <c r="H64" s="7">
        <f>+'образ Подп 7'!K56</f>
        <v>0</v>
      </c>
      <c r="I64" s="7">
        <f>+'образ Подп 7'!L56</f>
        <v>0</v>
      </c>
    </row>
    <row r="65" spans="2:10" s="1" customFormat="1" ht="20.25" customHeight="1" thickBot="1" x14ac:dyDescent="0.3">
      <c r="B65" s="7" t="s">
        <v>6</v>
      </c>
      <c r="C65" s="6">
        <f>SUM(D65:I65)</f>
        <v>0</v>
      </c>
      <c r="D65" s="7">
        <f>+'образ Подп 7'!G57</f>
        <v>0</v>
      </c>
      <c r="E65" s="7">
        <f>+'образ Подп 7'!H57</f>
        <v>0</v>
      </c>
      <c r="F65" s="7">
        <f>+'образ Подп 7'!I57</f>
        <v>0</v>
      </c>
      <c r="G65" s="7">
        <f>+'образ Подп 7'!J57</f>
        <v>0</v>
      </c>
      <c r="H65" s="7">
        <f>+'образ Подп 7'!K57</f>
        <v>0</v>
      </c>
      <c r="I65" s="7">
        <f>+'образ Подп 7'!L57</f>
        <v>0</v>
      </c>
    </row>
    <row r="66" spans="2:10" ht="15.75" customHeight="1" x14ac:dyDescent="0.25">
      <c r="J66" s="1" t="s">
        <v>122</v>
      </c>
    </row>
    <row r="67" spans="2:10" ht="36" customHeight="1" x14ac:dyDescent="0.2"/>
    <row r="68" spans="2:10" ht="39" customHeight="1" x14ac:dyDescent="0.2"/>
    <row r="69" spans="2:10" ht="21" customHeight="1" x14ac:dyDescent="0.2"/>
    <row r="70" spans="2:10" ht="26.25" customHeight="1" x14ac:dyDescent="0.2"/>
    <row r="71" spans="2:10" ht="21" customHeight="1" x14ac:dyDescent="0.2"/>
    <row r="72" spans="2:10" ht="24.75" customHeight="1" x14ac:dyDescent="0.2"/>
    <row r="73" spans="2:10" ht="35.25" customHeight="1" x14ac:dyDescent="0.2"/>
    <row r="74" spans="2:10" ht="32.25" customHeight="1" x14ac:dyDescent="0.2"/>
    <row r="75" spans="2:10" ht="21.75" customHeight="1" x14ac:dyDescent="0.2"/>
    <row r="76" spans="2:10" ht="23.25" customHeight="1" x14ac:dyDescent="0.2"/>
    <row r="77" spans="2:10" ht="23.25" customHeight="1" x14ac:dyDescent="0.2"/>
    <row r="78" spans="2:10" ht="23.25" customHeight="1" x14ac:dyDescent="0.2"/>
    <row r="79" spans="2:10" ht="23.25" customHeight="1" x14ac:dyDescent="0.2"/>
    <row r="80" spans="2:10" ht="23.25" customHeight="1" x14ac:dyDescent="0.2"/>
    <row r="81" s="2" customFormat="1" ht="22.5" customHeight="1" x14ac:dyDescent="0.2"/>
    <row r="82" s="2" customFormat="1" ht="22.5" customHeight="1" x14ac:dyDescent="0.2"/>
    <row r="83" s="2" customFormat="1" ht="48" customHeight="1" x14ac:dyDescent="0.2"/>
    <row r="84" s="2" customFormat="1" ht="25.5" customHeight="1" x14ac:dyDescent="0.2"/>
    <row r="85" s="2" customFormat="1" ht="25.5" customHeight="1" x14ac:dyDescent="0.2"/>
    <row r="86" s="2" customFormat="1" ht="25.5" customHeight="1" x14ac:dyDescent="0.2"/>
    <row r="87" s="2" customFormat="1" ht="25.5" customHeight="1" x14ac:dyDescent="0.2"/>
    <row r="88" s="2" customFormat="1" ht="25.5" customHeight="1" x14ac:dyDescent="0.2"/>
    <row r="89" s="2" customFormat="1" ht="25.5" customHeight="1" x14ac:dyDescent="0.2"/>
    <row r="90" s="2" customFormat="1" ht="25.5" customHeight="1" x14ac:dyDescent="0.2"/>
    <row r="91" s="2" customFormat="1" ht="25.5" customHeight="1" x14ac:dyDescent="0.2"/>
    <row r="92" s="2" customFormat="1" ht="25.5" customHeight="1" x14ac:dyDescent="0.2"/>
    <row r="93" s="2" customFormat="1" ht="25.5" customHeight="1" x14ac:dyDescent="0.2"/>
    <row r="94" s="2" customFormat="1" ht="25.5" hidden="1" customHeight="1" x14ac:dyDescent="0.2"/>
    <row r="95" s="2" customFormat="1" ht="25.5" hidden="1" customHeight="1" x14ac:dyDescent="0.2"/>
    <row r="96" s="2" customFormat="1" ht="25.5" hidden="1" customHeight="1" x14ac:dyDescent="0.2"/>
    <row r="97" s="2" customFormat="1" ht="25.5" hidden="1" customHeight="1" x14ac:dyDescent="0.2"/>
    <row r="98" s="2" customFormat="1" ht="25.5" hidden="1" customHeight="1" x14ac:dyDescent="0.2"/>
    <row r="99" s="2" customFormat="1" ht="25.5" customHeight="1" x14ac:dyDescent="0.2"/>
    <row r="100" s="2" customFormat="1" ht="25.5" customHeight="1" x14ac:dyDescent="0.2"/>
    <row r="101" s="2" customFormat="1" ht="25.5" customHeight="1" x14ac:dyDescent="0.2"/>
    <row r="102" s="2" customFormat="1" ht="25.5" customHeight="1" x14ac:dyDescent="0.2"/>
    <row r="103" s="2" customFormat="1" ht="25.5" customHeight="1" x14ac:dyDescent="0.2"/>
    <row r="104" s="2" customFormat="1" ht="25.5" hidden="1" customHeight="1" x14ac:dyDescent="0.2"/>
    <row r="105" s="2" customFormat="1" ht="25.5" hidden="1" customHeight="1" x14ac:dyDescent="0.2"/>
    <row r="106" s="2" customFormat="1" ht="25.5" hidden="1" customHeight="1" x14ac:dyDescent="0.2"/>
    <row r="107" s="2" customFormat="1" ht="25.5" hidden="1" customHeight="1" x14ac:dyDescent="0.2"/>
    <row r="108" s="2" customFormat="1" ht="25.5" hidden="1" customHeight="1" x14ac:dyDescent="0.2"/>
    <row r="109" s="2" customFormat="1" ht="25.5" hidden="1" customHeight="1" x14ac:dyDescent="0.2"/>
    <row r="110" s="2" customFormat="1" ht="25.5" hidden="1" customHeight="1" x14ac:dyDescent="0.2"/>
    <row r="111" s="2" customFormat="1" ht="25.5" hidden="1" customHeight="1" x14ac:dyDescent="0.2"/>
    <row r="112" s="2" customFormat="1" ht="25.5" hidden="1" customHeight="1" x14ac:dyDescent="0.2"/>
    <row r="113" s="2" customFormat="1" ht="25.5" hidden="1" customHeight="1" x14ac:dyDescent="0.2"/>
    <row r="114" s="2" customFormat="1" ht="25.5" hidden="1" customHeight="1" x14ac:dyDescent="0.2"/>
    <row r="115" s="2" customFormat="1" ht="25.5" hidden="1" customHeight="1" x14ac:dyDescent="0.2"/>
    <row r="116" s="2" customFormat="1" ht="25.5" hidden="1" customHeight="1" x14ac:dyDescent="0.2"/>
    <row r="117" s="2" customFormat="1" ht="25.5" hidden="1" customHeight="1" x14ac:dyDescent="0.2"/>
    <row r="118" s="2" customFormat="1" ht="25.5" hidden="1" customHeight="1" x14ac:dyDescent="0.2"/>
    <row r="119" s="2" customFormat="1" ht="25.5" hidden="1" customHeight="1" x14ac:dyDescent="0.2"/>
    <row r="120" s="2" customFormat="1" ht="25.5" hidden="1" customHeight="1" x14ac:dyDescent="0.2"/>
    <row r="121" s="2" customFormat="1" ht="25.5" hidden="1" customHeight="1" x14ac:dyDescent="0.2"/>
    <row r="122" s="2" customFormat="1" ht="25.5" hidden="1" customHeight="1" x14ac:dyDescent="0.2"/>
    <row r="123" s="2" customFormat="1" ht="25.5" hidden="1" customHeight="1" x14ac:dyDescent="0.2"/>
    <row r="124" s="2" customFormat="1" ht="25.5" hidden="1" customHeight="1" x14ac:dyDescent="0.2"/>
    <row r="125" s="2" customFormat="1" ht="25.5" hidden="1" customHeight="1" x14ac:dyDescent="0.2"/>
    <row r="126" s="2" customFormat="1" ht="25.5" hidden="1" customHeight="1" x14ac:dyDescent="0.2"/>
    <row r="127" s="2" customFormat="1" ht="25.5" hidden="1" customHeight="1" x14ac:dyDescent="0.2"/>
    <row r="128" s="2" customFormat="1" ht="25.5" hidden="1" customHeight="1" x14ac:dyDescent="0.2"/>
    <row r="129" s="2" customFormat="1" ht="25.5" hidden="1" customHeight="1" x14ac:dyDescent="0.2"/>
    <row r="130" s="2" customFormat="1" ht="25.5" hidden="1" customHeight="1" x14ac:dyDescent="0.2"/>
    <row r="131" s="2" customFormat="1" ht="25.5" hidden="1" customHeight="1" x14ac:dyDescent="0.2"/>
    <row r="132" s="2" customFormat="1" ht="25.5" hidden="1" customHeight="1" x14ac:dyDescent="0.2"/>
    <row r="133" s="2" customFormat="1" ht="25.5" hidden="1" customHeight="1" x14ac:dyDescent="0.2"/>
    <row r="134" s="2" customFormat="1" ht="23.25" customHeight="1" x14ac:dyDescent="0.2"/>
    <row r="135" s="2" customFormat="1" ht="23.25" customHeight="1" x14ac:dyDescent="0.2"/>
    <row r="136" s="2" customFormat="1" ht="23.25" customHeight="1" x14ac:dyDescent="0.2"/>
    <row r="137" s="2" customFormat="1" ht="23.25" customHeight="1" x14ac:dyDescent="0.2"/>
    <row r="138" s="2" customFormat="1" ht="23.25" customHeight="1" x14ac:dyDescent="0.2"/>
    <row r="139" s="2" customFormat="1" ht="12.75" customHeight="1" x14ac:dyDescent="0.2"/>
  </sheetData>
  <mergeCells count="15">
    <mergeCell ref="B60:I60"/>
    <mergeCell ref="B10:I10"/>
    <mergeCell ref="B11:I11"/>
    <mergeCell ref="B12:I12"/>
    <mergeCell ref="B14:B16"/>
    <mergeCell ref="C14:I14"/>
    <mergeCell ref="C15:C16"/>
    <mergeCell ref="D15:I15"/>
    <mergeCell ref="B18:I18"/>
    <mergeCell ref="B24:I24"/>
    <mergeCell ref="B48:I48"/>
    <mergeCell ref="B54:I54"/>
    <mergeCell ref="B36:I36"/>
    <mergeCell ref="B42:I42"/>
    <mergeCell ref="B30:I30"/>
  </mergeCells>
  <pageMargins left="1.3779527559055118" right="0.39370078740157483" top="0.78740157480314965" bottom="0.39370078740157483" header="0.19685039370078741" footer="0.15748031496062992"/>
  <pageSetup paperSize="9" scale="6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131"/>
  <sheetViews>
    <sheetView view="pageBreakPreview" zoomScaleNormal="75" zoomScaleSheetLayoutView="100" workbookViewId="0">
      <pane xSplit="2" ySplit="15" topLeftCell="C118" activePane="bottomRight" state="frozen"/>
      <selection activeCell="J55" sqref="J55"/>
      <selection pane="topRight" activeCell="J55" sqref="J55"/>
      <selection pane="bottomLeft" activeCell="J55" sqref="J55"/>
      <selection pane="bottomRight" activeCell="K38" sqref="K38"/>
    </sheetView>
  </sheetViews>
  <sheetFormatPr defaultRowHeight="12.75" x14ac:dyDescent="0.2"/>
  <cols>
    <col min="1" max="1" width="2.7109375" style="2" customWidth="1"/>
    <col min="2" max="2" width="6.7109375" style="2" customWidth="1"/>
    <col min="3" max="3" width="35" style="2" customWidth="1"/>
    <col min="4" max="4" width="18.5703125" style="2" customWidth="1"/>
    <col min="5" max="5" width="20" style="27" customWidth="1"/>
    <col min="6" max="6" width="15.7109375" style="2" customWidth="1"/>
    <col min="7" max="12" width="10.5703125" style="2" customWidth="1"/>
    <col min="13" max="13" width="2.5703125" style="2" customWidth="1"/>
    <col min="14" max="14" width="14.140625" style="2" customWidth="1"/>
    <col min="15" max="16384" width="9.140625" style="2"/>
  </cols>
  <sheetData>
    <row r="1" spans="1:14" ht="15.75" x14ac:dyDescent="0.25">
      <c r="E1" s="2"/>
      <c r="G1" s="1" t="s">
        <v>176</v>
      </c>
    </row>
    <row r="2" spans="1:14" ht="15.75" x14ac:dyDescent="0.25">
      <c r="E2" s="2"/>
      <c r="G2" s="1" t="s">
        <v>120</v>
      </c>
    </row>
    <row r="3" spans="1:14" ht="15.75" x14ac:dyDescent="0.25">
      <c r="E3" s="2"/>
      <c r="G3" s="1" t="str">
        <f>+Свод!G3</f>
        <v>№ 587 от 12.08.2022 г.</v>
      </c>
    </row>
    <row r="4" spans="1:14" x14ac:dyDescent="0.2">
      <c r="E4" s="2"/>
    </row>
    <row r="5" spans="1:14" s="1" customFormat="1" ht="14.1" customHeight="1" x14ac:dyDescent="0.25">
      <c r="E5" s="10"/>
      <c r="F5" s="109"/>
      <c r="G5" s="109" t="s">
        <v>119</v>
      </c>
      <c r="H5" s="109"/>
      <c r="I5" s="109"/>
      <c r="J5" s="109"/>
      <c r="K5" s="109"/>
      <c r="L5" s="109"/>
      <c r="N5" s="109"/>
    </row>
    <row r="6" spans="1:14" s="1" customFormat="1" ht="14.1" customHeight="1" x14ac:dyDescent="0.25">
      <c r="E6" s="10"/>
      <c r="F6" s="109"/>
      <c r="G6" s="109" t="s">
        <v>124</v>
      </c>
      <c r="H6" s="109"/>
      <c r="I6" s="109"/>
      <c r="J6" s="109"/>
      <c r="K6" s="109"/>
      <c r="L6" s="109"/>
      <c r="N6" s="109"/>
    </row>
    <row r="7" spans="1:14" s="1" customFormat="1" ht="14.1" customHeight="1" x14ac:dyDescent="0.25">
      <c r="E7" s="10"/>
      <c r="G7" s="1" t="s">
        <v>40</v>
      </c>
    </row>
    <row r="8" spans="1:14" s="1" customFormat="1" ht="15.75" x14ac:dyDescent="0.25">
      <c r="D8" s="109"/>
      <c r="E8" s="10"/>
      <c r="F8" s="109"/>
      <c r="G8" s="109" t="s">
        <v>125</v>
      </c>
      <c r="H8" s="109"/>
      <c r="I8" s="109"/>
      <c r="J8" s="109"/>
      <c r="K8" s="109"/>
      <c r="L8" s="109"/>
      <c r="N8" s="109"/>
    </row>
    <row r="9" spans="1:14" s="1" customFormat="1" ht="9" customHeight="1" x14ac:dyDescent="0.25">
      <c r="E9" s="10"/>
    </row>
    <row r="10" spans="1:14" s="1" customFormat="1" ht="15.75" x14ac:dyDescent="0.25">
      <c r="B10" s="159" t="s">
        <v>126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4" s="1" customFormat="1" ht="15.75" x14ac:dyDescent="0.25">
      <c r="B11" s="160" t="s">
        <v>127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4" s="1" customFormat="1" ht="12.75" customHeight="1" x14ac:dyDescent="0.25">
      <c r="A12" s="1" t="s">
        <v>121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4" s="1" customFormat="1" ht="15.75" x14ac:dyDescent="0.25">
      <c r="B13" s="133" t="s">
        <v>30</v>
      </c>
      <c r="C13" s="132" t="s">
        <v>31</v>
      </c>
      <c r="D13" s="132" t="s">
        <v>32</v>
      </c>
      <c r="E13" s="132" t="s">
        <v>33</v>
      </c>
      <c r="F13" s="132" t="s">
        <v>34</v>
      </c>
      <c r="G13" s="129" t="s">
        <v>35</v>
      </c>
      <c r="H13" s="129"/>
      <c r="I13" s="129"/>
      <c r="J13" s="129"/>
      <c r="K13" s="129"/>
      <c r="L13" s="129"/>
    </row>
    <row r="14" spans="1:14" s="1" customFormat="1" ht="66.75" customHeight="1" x14ac:dyDescent="0.25">
      <c r="B14" s="134"/>
      <c r="C14" s="132"/>
      <c r="D14" s="132"/>
      <c r="E14" s="132"/>
      <c r="F14" s="132"/>
      <c r="G14" s="103" t="s">
        <v>38</v>
      </c>
      <c r="H14" s="103" t="s">
        <v>43</v>
      </c>
      <c r="I14" s="103" t="s">
        <v>39</v>
      </c>
      <c r="J14" s="103" t="s">
        <v>150</v>
      </c>
      <c r="K14" s="103" t="s">
        <v>152</v>
      </c>
      <c r="L14" s="103" t="s">
        <v>151</v>
      </c>
    </row>
    <row r="15" spans="1:14" s="1" customFormat="1" ht="13.5" customHeight="1" x14ac:dyDescent="0.25"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</row>
    <row r="16" spans="1:14" s="1" customFormat="1" ht="43.5" customHeight="1" x14ac:dyDescent="0.25">
      <c r="B16" s="106"/>
      <c r="C16" s="135" t="s">
        <v>15</v>
      </c>
      <c r="D16" s="136"/>
      <c r="E16" s="136"/>
      <c r="F16" s="136"/>
      <c r="G16" s="136"/>
      <c r="H16" s="136"/>
      <c r="I16" s="136"/>
      <c r="J16" s="136"/>
      <c r="K16" s="136"/>
      <c r="L16" s="137"/>
    </row>
    <row r="17" spans="2:13" s="1" customFormat="1" ht="15.75" customHeight="1" x14ac:dyDescent="0.25">
      <c r="B17" s="129" t="s">
        <v>0</v>
      </c>
      <c r="C17" s="138" t="s">
        <v>16</v>
      </c>
      <c r="D17" s="132" t="s">
        <v>1</v>
      </c>
      <c r="E17" s="12" t="s">
        <v>2</v>
      </c>
      <c r="F17" s="13">
        <f>SUM(F18:F21)</f>
        <v>553484.80000000005</v>
      </c>
      <c r="G17" s="13">
        <f t="shared" ref="G17:H17" si="0">SUM(G18:G21)</f>
        <v>76475.400000000009</v>
      </c>
      <c r="H17" s="13">
        <f t="shared" si="0"/>
        <v>94023.4</v>
      </c>
      <c r="I17" s="13">
        <f>SUM(I18:I21)</f>
        <v>121346.70000000001</v>
      </c>
      <c r="J17" s="13">
        <f>SUM(J18:J21)</f>
        <v>121900.3</v>
      </c>
      <c r="K17" s="13">
        <f t="shared" ref="K17:L17" si="1">SUM(K18:K21)</f>
        <v>72697.3</v>
      </c>
      <c r="L17" s="13">
        <f t="shared" si="1"/>
        <v>67041.7</v>
      </c>
      <c r="M17" s="14"/>
    </row>
    <row r="18" spans="2:13" s="1" customFormat="1" ht="15.75" x14ac:dyDescent="0.25">
      <c r="B18" s="129"/>
      <c r="C18" s="138"/>
      <c r="D18" s="132"/>
      <c r="E18" s="15" t="s">
        <v>5</v>
      </c>
      <c r="F18" s="13">
        <f t="shared" ref="F18" si="2">SUM(G18:L18)</f>
        <v>520683.00000000006</v>
      </c>
      <c r="G18" s="16">
        <f>G23</f>
        <v>73624.3</v>
      </c>
      <c r="H18" s="16">
        <f>H23+H43</f>
        <v>88456.4</v>
      </c>
      <c r="I18" s="16">
        <f>I23+I43</f>
        <v>112796.90000000001</v>
      </c>
      <c r="J18" s="16">
        <f>J23+J43+J38</f>
        <v>110943.40000000001</v>
      </c>
      <c r="K18" s="16">
        <f t="shared" ref="K18:L18" si="3">K23+K43+K38</f>
        <v>69715.3</v>
      </c>
      <c r="L18" s="16">
        <f t="shared" si="3"/>
        <v>65146.7</v>
      </c>
      <c r="M18" s="17"/>
    </row>
    <row r="19" spans="2:13" s="1" customFormat="1" ht="15.75" x14ac:dyDescent="0.25">
      <c r="B19" s="129"/>
      <c r="C19" s="131"/>
      <c r="D19" s="132"/>
      <c r="E19" s="15" t="s">
        <v>3</v>
      </c>
      <c r="F19" s="13">
        <f>SUM(G19:L19)</f>
        <v>17436.7</v>
      </c>
      <c r="G19" s="16">
        <f t="shared" ref="G19:G21" si="4">G24</f>
        <v>1012.3</v>
      </c>
      <c r="H19" s="16">
        <f>H24+H44</f>
        <v>4533.5</v>
      </c>
      <c r="I19" s="16">
        <f>I24+I44</f>
        <v>3074.2</v>
      </c>
      <c r="J19" s="16">
        <f t="shared" ref="I19:J21" si="5">J24+J44</f>
        <v>3939.7</v>
      </c>
      <c r="K19" s="16">
        <f t="shared" ref="K19:L19" si="6">K24+K44</f>
        <v>2982</v>
      </c>
      <c r="L19" s="16">
        <f t="shared" si="6"/>
        <v>1895</v>
      </c>
      <c r="M19" s="14"/>
    </row>
    <row r="20" spans="2:13" s="1" customFormat="1" ht="15.75" x14ac:dyDescent="0.25">
      <c r="B20" s="129"/>
      <c r="C20" s="131"/>
      <c r="D20" s="132"/>
      <c r="E20" s="15" t="s">
        <v>4</v>
      </c>
      <c r="F20" s="13">
        <f t="shared" ref="F20:F21" si="7">SUM(G20:L20)</f>
        <v>0</v>
      </c>
      <c r="G20" s="16">
        <f t="shared" si="4"/>
        <v>0</v>
      </c>
      <c r="H20" s="16">
        <f>H25+H45</f>
        <v>0</v>
      </c>
      <c r="I20" s="16">
        <f t="shared" si="5"/>
        <v>0</v>
      </c>
      <c r="J20" s="16">
        <f t="shared" si="5"/>
        <v>0</v>
      </c>
      <c r="K20" s="16">
        <f>K25+K45</f>
        <v>0</v>
      </c>
      <c r="L20" s="16">
        <f>L25+L45</f>
        <v>0</v>
      </c>
      <c r="M20" s="14"/>
    </row>
    <row r="21" spans="2:13" s="1" customFormat="1" ht="15.75" x14ac:dyDescent="0.25">
      <c r="B21" s="129"/>
      <c r="C21" s="131"/>
      <c r="D21" s="132"/>
      <c r="E21" s="15" t="s">
        <v>6</v>
      </c>
      <c r="F21" s="13">
        <f t="shared" si="7"/>
        <v>15365.100000000002</v>
      </c>
      <c r="G21" s="16">
        <f t="shared" si="4"/>
        <v>1838.8</v>
      </c>
      <c r="H21" s="16">
        <f>H26+H46</f>
        <v>1033.5</v>
      </c>
      <c r="I21" s="16">
        <f>I26+I46</f>
        <v>5475.6</v>
      </c>
      <c r="J21" s="16">
        <f t="shared" si="5"/>
        <v>7017.2</v>
      </c>
      <c r="K21" s="16">
        <f>K26+K46</f>
        <v>0</v>
      </c>
      <c r="L21" s="16">
        <f>L26+L46</f>
        <v>0</v>
      </c>
    </row>
    <row r="22" spans="2:13" s="1" customFormat="1" ht="15.75" x14ac:dyDescent="0.25">
      <c r="B22" s="140" t="s">
        <v>17</v>
      </c>
      <c r="C22" s="131" t="s">
        <v>20</v>
      </c>
      <c r="D22" s="132" t="s">
        <v>1</v>
      </c>
      <c r="E22" s="12" t="s">
        <v>2</v>
      </c>
      <c r="F22" s="13">
        <f>SUM(F23:F26)</f>
        <v>551418.5</v>
      </c>
      <c r="G22" s="16">
        <f t="shared" ref="G22:L26" si="8">G27+G32</f>
        <v>76475.400000000009</v>
      </c>
      <c r="H22" s="16">
        <f t="shared" si="8"/>
        <v>92023.4</v>
      </c>
      <c r="I22" s="16">
        <f t="shared" si="8"/>
        <v>121346.70000000001</v>
      </c>
      <c r="J22" s="16">
        <f t="shared" si="8"/>
        <v>121164.3</v>
      </c>
      <c r="K22" s="16">
        <f t="shared" si="8"/>
        <v>72697.3</v>
      </c>
      <c r="L22" s="16">
        <f t="shared" si="8"/>
        <v>67041.7</v>
      </c>
    </row>
    <row r="23" spans="2:13" s="1" customFormat="1" ht="15.75" x14ac:dyDescent="0.25">
      <c r="B23" s="140"/>
      <c r="C23" s="131"/>
      <c r="D23" s="132"/>
      <c r="E23" s="15" t="s">
        <v>5</v>
      </c>
      <c r="F23" s="13">
        <f t="shared" ref="F23" si="9">SUM(G23:L23)</f>
        <v>520436.6</v>
      </c>
      <c r="G23" s="16">
        <f t="shared" si="8"/>
        <v>73624.3</v>
      </c>
      <c r="H23" s="16">
        <f t="shared" si="8"/>
        <v>88276.299999999988</v>
      </c>
      <c r="I23" s="16">
        <f>I28+I33</f>
        <v>112796.90000000001</v>
      </c>
      <c r="J23" s="16">
        <f>J28+J33</f>
        <v>110877.1</v>
      </c>
      <c r="K23" s="16">
        <f t="shared" ref="K23:L23" si="10">K28+K33+K38</f>
        <v>69715.3</v>
      </c>
      <c r="L23" s="16">
        <f t="shared" si="10"/>
        <v>65146.7</v>
      </c>
    </row>
    <row r="24" spans="2:13" s="1" customFormat="1" ht="15.75" x14ac:dyDescent="0.25">
      <c r="B24" s="140"/>
      <c r="C24" s="131"/>
      <c r="D24" s="132"/>
      <c r="E24" s="15" t="s">
        <v>3</v>
      </c>
      <c r="F24" s="13">
        <f>SUM(G24:L24)</f>
        <v>15616.8</v>
      </c>
      <c r="G24" s="16">
        <f t="shared" si="8"/>
        <v>1012.3</v>
      </c>
      <c r="H24" s="16">
        <f t="shared" si="8"/>
        <v>2713.6</v>
      </c>
      <c r="I24" s="16">
        <f t="shared" si="8"/>
        <v>3074.2</v>
      </c>
      <c r="J24" s="16">
        <f>J29+J34+J39</f>
        <v>3939.7</v>
      </c>
      <c r="K24" s="16">
        <f t="shared" ref="K24:L24" si="11">K29+K34+K39</f>
        <v>2982</v>
      </c>
      <c r="L24" s="16">
        <f t="shared" si="11"/>
        <v>1895</v>
      </c>
    </row>
    <row r="25" spans="2:13" s="1" customFormat="1" ht="15.75" x14ac:dyDescent="0.25">
      <c r="B25" s="140"/>
      <c r="C25" s="131"/>
      <c r="D25" s="132"/>
      <c r="E25" s="15" t="s">
        <v>4</v>
      </c>
      <c r="F25" s="13">
        <f t="shared" ref="F25:F26" si="12">SUM(G25:L25)</f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6">
        <f t="shared" si="8"/>
        <v>0</v>
      </c>
      <c r="L25" s="16">
        <f t="shared" si="8"/>
        <v>0</v>
      </c>
    </row>
    <row r="26" spans="2:13" s="1" customFormat="1" ht="15.75" x14ac:dyDescent="0.25">
      <c r="B26" s="140"/>
      <c r="C26" s="131"/>
      <c r="D26" s="132"/>
      <c r="E26" s="15" t="s">
        <v>6</v>
      </c>
      <c r="F26" s="13">
        <f t="shared" si="12"/>
        <v>15365.100000000002</v>
      </c>
      <c r="G26" s="16">
        <f>G31+G36</f>
        <v>1838.8</v>
      </c>
      <c r="H26" s="16">
        <f t="shared" si="8"/>
        <v>1033.5</v>
      </c>
      <c r="I26" s="16">
        <f>I31+I36</f>
        <v>5475.6</v>
      </c>
      <c r="J26" s="16">
        <f>J31+J36</f>
        <v>7017.2</v>
      </c>
      <c r="K26" s="16">
        <f t="shared" si="8"/>
        <v>0</v>
      </c>
      <c r="L26" s="16">
        <f t="shared" si="8"/>
        <v>0</v>
      </c>
    </row>
    <row r="27" spans="2:13" s="19" customFormat="1" ht="54" customHeight="1" x14ac:dyDescent="0.2">
      <c r="B27" s="162" t="s">
        <v>18</v>
      </c>
      <c r="C27" s="131" t="s">
        <v>36</v>
      </c>
      <c r="D27" s="139" t="s">
        <v>1</v>
      </c>
      <c r="E27" s="18" t="s">
        <v>2</v>
      </c>
      <c r="F27" s="13">
        <f>SUM(F28:F31)</f>
        <v>490870.5</v>
      </c>
      <c r="G27" s="13">
        <f t="shared" ref="G27:H27" si="13">SUM(G28:G31)</f>
        <v>69521.100000000006</v>
      </c>
      <c r="H27" s="13">
        <f t="shared" si="13"/>
        <v>82419.399999999994</v>
      </c>
      <c r="I27" s="13">
        <f>SUM(I28:I31)</f>
        <v>111267.70000000001</v>
      </c>
      <c r="J27" s="13">
        <f t="shared" ref="J27:L27" si="14">SUM(J28:J31)</f>
        <v>107699.3</v>
      </c>
      <c r="K27" s="13">
        <f t="shared" si="14"/>
        <v>62536.3</v>
      </c>
      <c r="L27" s="13">
        <f t="shared" si="14"/>
        <v>57426.7</v>
      </c>
    </row>
    <row r="28" spans="2:13" s="19" customFormat="1" ht="54" customHeight="1" x14ac:dyDescent="0.2">
      <c r="B28" s="162"/>
      <c r="C28" s="131"/>
      <c r="D28" s="139"/>
      <c r="E28" s="20" t="s">
        <v>5</v>
      </c>
      <c r="F28" s="13">
        <f t="shared" ref="F28" si="15">SUM(G28:L28)</f>
        <v>475505.4</v>
      </c>
      <c r="G28" s="16">
        <f>69521.1-G31</f>
        <v>67682.3</v>
      </c>
      <c r="H28" s="16">
        <f>79047+1523-H31+1849.4</f>
        <v>81385.899999999994</v>
      </c>
      <c r="I28" s="16">
        <f>105792.1</f>
        <v>105792.1</v>
      </c>
      <c r="J28" s="16">
        <f>109779.3-2080-J31</f>
        <v>100682.1</v>
      </c>
      <c r="K28" s="16">
        <f>62754.3-218</f>
        <v>62536.3</v>
      </c>
      <c r="L28" s="16">
        <f>58185.7-759</f>
        <v>57426.7</v>
      </c>
    </row>
    <row r="29" spans="2:13" s="19" customFormat="1" ht="54" customHeight="1" x14ac:dyDescent="0.2">
      <c r="B29" s="162"/>
      <c r="C29" s="138"/>
      <c r="D29" s="139"/>
      <c r="E29" s="20" t="s">
        <v>3</v>
      </c>
      <c r="F29" s="13">
        <f>SUM(G29:L29)</f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2:13" s="19" customFormat="1" ht="54" customHeight="1" x14ac:dyDescent="0.2">
      <c r="B30" s="162"/>
      <c r="C30" s="138"/>
      <c r="D30" s="139"/>
      <c r="E30" s="20" t="s">
        <v>4</v>
      </c>
      <c r="F30" s="13">
        <f t="shared" ref="F30:F31" si="16">SUM(G30:L30)</f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3" s="19" customFormat="1" ht="54" customHeight="1" x14ac:dyDescent="0.2">
      <c r="B31" s="162"/>
      <c r="C31" s="138"/>
      <c r="D31" s="139"/>
      <c r="E31" s="20" t="s">
        <v>6</v>
      </c>
      <c r="F31" s="13">
        <f t="shared" si="16"/>
        <v>15365.100000000002</v>
      </c>
      <c r="G31" s="16">
        <v>1838.8</v>
      </c>
      <c r="H31" s="16">
        <v>1033.5</v>
      </c>
      <c r="I31" s="16">
        <f>250+1018.5-88.5-250+2500+2045.6</f>
        <v>5475.6</v>
      </c>
      <c r="J31" s="16">
        <v>7017.2</v>
      </c>
      <c r="K31" s="16">
        <v>0</v>
      </c>
      <c r="L31" s="16">
        <v>0</v>
      </c>
    </row>
    <row r="32" spans="2:13" s="1" customFormat="1" ht="25.5" customHeight="1" x14ac:dyDescent="0.25">
      <c r="B32" s="130" t="s">
        <v>50</v>
      </c>
      <c r="C32" s="131" t="s">
        <v>37</v>
      </c>
      <c r="D32" s="132" t="s">
        <v>1</v>
      </c>
      <c r="E32" s="12" t="s">
        <v>2</v>
      </c>
      <c r="F32" s="13">
        <f>SUM(F33:F36)</f>
        <v>59878.299999999996</v>
      </c>
      <c r="G32" s="13">
        <f t="shared" ref="G32:L32" si="17">SUM(G33:G36)</f>
        <v>6954.3</v>
      </c>
      <c r="H32" s="13">
        <f t="shared" si="17"/>
        <v>9604</v>
      </c>
      <c r="I32" s="13">
        <f t="shared" si="17"/>
        <v>10079</v>
      </c>
      <c r="J32" s="13">
        <f t="shared" si="17"/>
        <v>13465</v>
      </c>
      <c r="K32" s="13">
        <f t="shared" si="17"/>
        <v>10161</v>
      </c>
      <c r="L32" s="13">
        <f t="shared" si="17"/>
        <v>9615</v>
      </c>
    </row>
    <row r="33" spans="2:12" s="1" customFormat="1" ht="25.5" customHeight="1" x14ac:dyDescent="0.25">
      <c r="B33" s="130"/>
      <c r="C33" s="131"/>
      <c r="D33" s="132"/>
      <c r="E33" s="15" t="s">
        <v>5</v>
      </c>
      <c r="F33" s="13">
        <f t="shared" ref="F33" si="18">SUM(G33:L33)</f>
        <v>44931.199999999997</v>
      </c>
      <c r="G33" s="16">
        <v>5942</v>
      </c>
      <c r="H33" s="16">
        <f>5650.4+1240</f>
        <v>6890.4</v>
      </c>
      <c r="I33" s="16">
        <f>4908.8+2096</f>
        <v>7004.8</v>
      </c>
      <c r="J33" s="16">
        <f>8115+2080</f>
        <v>10195</v>
      </c>
      <c r="K33" s="16">
        <f>6961+218</f>
        <v>7179</v>
      </c>
      <c r="L33" s="16">
        <f>6961+759</f>
        <v>7720</v>
      </c>
    </row>
    <row r="34" spans="2:12" s="1" customFormat="1" ht="25.5" customHeight="1" x14ac:dyDescent="0.25">
      <c r="B34" s="130"/>
      <c r="C34" s="131"/>
      <c r="D34" s="132"/>
      <c r="E34" s="15" t="s">
        <v>3</v>
      </c>
      <c r="F34" s="13">
        <f>SUM(G34:L34)</f>
        <v>14947.099999999999</v>
      </c>
      <c r="G34" s="16">
        <v>1012.3</v>
      </c>
      <c r="H34" s="16">
        <v>2713.6</v>
      </c>
      <c r="I34" s="16">
        <v>3074.2</v>
      </c>
      <c r="J34" s="16">
        <v>3270</v>
      </c>
      <c r="K34" s="16">
        <v>2982</v>
      </c>
      <c r="L34" s="16">
        <v>1895</v>
      </c>
    </row>
    <row r="35" spans="2:12" s="1" customFormat="1" ht="25.5" customHeight="1" x14ac:dyDescent="0.25">
      <c r="B35" s="130"/>
      <c r="C35" s="131"/>
      <c r="D35" s="132"/>
      <c r="E35" s="15" t="s">
        <v>4</v>
      </c>
      <c r="F35" s="13">
        <f t="shared" ref="F35:F36" si="19">SUM(G35:L35)</f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</row>
    <row r="36" spans="2:12" s="1" customFormat="1" ht="25.5" customHeight="1" x14ac:dyDescent="0.25">
      <c r="B36" s="130"/>
      <c r="C36" s="131"/>
      <c r="D36" s="132"/>
      <c r="E36" s="15" t="s">
        <v>6</v>
      </c>
      <c r="F36" s="13">
        <f t="shared" si="1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</row>
    <row r="37" spans="2:12" s="1" customFormat="1" ht="25.5" customHeight="1" x14ac:dyDescent="0.25">
      <c r="B37" s="163" t="s">
        <v>74</v>
      </c>
      <c r="C37" s="131" t="s">
        <v>221</v>
      </c>
      <c r="D37" s="132" t="s">
        <v>1</v>
      </c>
      <c r="E37" s="12" t="s">
        <v>2</v>
      </c>
      <c r="F37" s="13">
        <f>SUM(F38:F41)</f>
        <v>736</v>
      </c>
      <c r="G37" s="13">
        <f t="shared" ref="G37:L37" si="20">SUM(G38:G41)</f>
        <v>0</v>
      </c>
      <c r="H37" s="13">
        <f t="shared" si="20"/>
        <v>0</v>
      </c>
      <c r="I37" s="13">
        <f t="shared" si="20"/>
        <v>0</v>
      </c>
      <c r="J37" s="13">
        <f t="shared" si="20"/>
        <v>736</v>
      </c>
      <c r="K37" s="13">
        <f t="shared" si="20"/>
        <v>0</v>
      </c>
      <c r="L37" s="13">
        <f t="shared" si="20"/>
        <v>0</v>
      </c>
    </row>
    <row r="38" spans="2:12" s="1" customFormat="1" ht="25.5" customHeight="1" x14ac:dyDescent="0.25">
      <c r="B38" s="164"/>
      <c r="C38" s="131"/>
      <c r="D38" s="132"/>
      <c r="E38" s="15" t="s">
        <v>5</v>
      </c>
      <c r="F38" s="13">
        <f t="shared" ref="F38" si="21">SUM(G38:L38)</f>
        <v>66.3</v>
      </c>
      <c r="G38" s="16">
        <v>0</v>
      </c>
      <c r="H38" s="16">
        <v>0</v>
      </c>
      <c r="I38" s="16">
        <v>0</v>
      </c>
      <c r="J38" s="16">
        <f>66.2+0.1</f>
        <v>66.3</v>
      </c>
      <c r="K38" s="16">
        <v>0</v>
      </c>
      <c r="L38" s="16">
        <v>0</v>
      </c>
    </row>
    <row r="39" spans="2:12" s="1" customFormat="1" ht="25.5" customHeight="1" x14ac:dyDescent="0.25">
      <c r="B39" s="164"/>
      <c r="C39" s="131"/>
      <c r="D39" s="132"/>
      <c r="E39" s="15" t="s">
        <v>3</v>
      </c>
      <c r="F39" s="13">
        <f>SUM(G39:L39)</f>
        <v>669.7</v>
      </c>
      <c r="G39" s="16">
        <v>0</v>
      </c>
      <c r="H39" s="16">
        <v>0</v>
      </c>
      <c r="I39" s="16">
        <v>0</v>
      </c>
      <c r="J39" s="16">
        <v>669.7</v>
      </c>
      <c r="K39" s="16">
        <v>0</v>
      </c>
      <c r="L39" s="16">
        <v>0</v>
      </c>
    </row>
    <row r="40" spans="2:12" s="1" customFormat="1" ht="25.5" customHeight="1" x14ac:dyDescent="0.25">
      <c r="B40" s="164"/>
      <c r="C40" s="131"/>
      <c r="D40" s="132"/>
      <c r="E40" s="15" t="s">
        <v>4</v>
      </c>
      <c r="F40" s="13">
        <f t="shared" ref="F40:F41" si="22">SUM(G40:L40)</f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</row>
    <row r="41" spans="2:12" s="1" customFormat="1" ht="25.5" customHeight="1" x14ac:dyDescent="0.25">
      <c r="B41" s="165"/>
      <c r="C41" s="131"/>
      <c r="D41" s="132"/>
      <c r="E41" s="15" t="s">
        <v>6</v>
      </c>
      <c r="F41" s="13">
        <f t="shared" si="22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</row>
    <row r="42" spans="2:12" s="1" customFormat="1" ht="15.75" x14ac:dyDescent="0.25">
      <c r="B42" s="130" t="s">
        <v>19</v>
      </c>
      <c r="C42" s="131" t="s">
        <v>41</v>
      </c>
      <c r="D42" s="132" t="s">
        <v>1</v>
      </c>
      <c r="E42" s="12" t="s">
        <v>2</v>
      </c>
      <c r="F42" s="13">
        <f>SUM(F43:F46)</f>
        <v>2000</v>
      </c>
      <c r="G42" s="13">
        <f t="shared" ref="G42:L42" si="23">SUM(G43:G46)</f>
        <v>0</v>
      </c>
      <c r="H42" s="13">
        <f t="shared" si="23"/>
        <v>2000</v>
      </c>
      <c r="I42" s="13">
        <f t="shared" si="23"/>
        <v>0</v>
      </c>
      <c r="J42" s="13">
        <f t="shared" si="23"/>
        <v>0</v>
      </c>
      <c r="K42" s="13">
        <f t="shared" si="23"/>
        <v>0</v>
      </c>
      <c r="L42" s="13">
        <f t="shared" si="23"/>
        <v>0</v>
      </c>
    </row>
    <row r="43" spans="2:12" s="1" customFormat="1" ht="15.75" x14ac:dyDescent="0.25">
      <c r="B43" s="130"/>
      <c r="C43" s="131"/>
      <c r="D43" s="132"/>
      <c r="E43" s="15" t="s">
        <v>5</v>
      </c>
      <c r="F43" s="13">
        <f t="shared" ref="F43" si="24">SUM(G43:L43)</f>
        <v>180.1</v>
      </c>
      <c r="G43" s="16">
        <v>0</v>
      </c>
      <c r="H43" s="16">
        <v>180.1</v>
      </c>
      <c r="I43" s="16">
        <v>0</v>
      </c>
      <c r="J43" s="16">
        <v>0</v>
      </c>
      <c r="K43" s="16">
        <v>0</v>
      </c>
      <c r="L43" s="16">
        <v>0</v>
      </c>
    </row>
    <row r="44" spans="2:12" s="1" customFormat="1" ht="15.75" x14ac:dyDescent="0.25">
      <c r="B44" s="130"/>
      <c r="C44" s="131"/>
      <c r="D44" s="132"/>
      <c r="E44" s="15" t="s">
        <v>3</v>
      </c>
      <c r="F44" s="13">
        <f>SUM(G44:L44)</f>
        <v>1819.9</v>
      </c>
      <c r="G44" s="16">
        <v>0</v>
      </c>
      <c r="H44" s="16">
        <v>1819.9</v>
      </c>
      <c r="I44" s="16">
        <v>0</v>
      </c>
      <c r="J44" s="16">
        <v>0</v>
      </c>
      <c r="K44" s="16">
        <v>0</v>
      </c>
      <c r="L44" s="16">
        <v>0</v>
      </c>
    </row>
    <row r="45" spans="2:12" s="1" customFormat="1" ht="15.75" x14ac:dyDescent="0.25">
      <c r="B45" s="130"/>
      <c r="C45" s="131"/>
      <c r="D45" s="132"/>
      <c r="E45" s="15" t="s">
        <v>4</v>
      </c>
      <c r="F45" s="13">
        <f t="shared" ref="F45:F46" si="25">SUM(G45:L45)</f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</row>
    <row r="46" spans="2:12" s="1" customFormat="1" ht="15.75" x14ac:dyDescent="0.25">
      <c r="B46" s="130"/>
      <c r="C46" s="131"/>
      <c r="D46" s="132"/>
      <c r="E46" s="15" t="s">
        <v>6</v>
      </c>
      <c r="F46" s="13">
        <f t="shared" si="25"/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s="1" customFormat="1" ht="15.75" x14ac:dyDescent="0.25">
      <c r="B47" s="141" t="s">
        <v>7</v>
      </c>
      <c r="C47" s="138" t="s">
        <v>25</v>
      </c>
      <c r="D47" s="132" t="s">
        <v>1</v>
      </c>
      <c r="E47" s="12" t="s">
        <v>2</v>
      </c>
      <c r="F47" s="13">
        <f>SUM(F48:F51)</f>
        <v>803</v>
      </c>
      <c r="G47" s="13">
        <f t="shared" ref="G47:L47" si="26">SUM(G48:G51)</f>
        <v>85</v>
      </c>
      <c r="H47" s="13">
        <f t="shared" si="26"/>
        <v>150</v>
      </c>
      <c r="I47" s="13">
        <f t="shared" si="26"/>
        <v>71</v>
      </c>
      <c r="J47" s="13">
        <f t="shared" si="26"/>
        <v>184</v>
      </c>
      <c r="K47" s="13">
        <f t="shared" si="26"/>
        <v>153</v>
      </c>
      <c r="L47" s="13">
        <f t="shared" si="26"/>
        <v>160</v>
      </c>
    </row>
    <row r="48" spans="2:12" s="1" customFormat="1" ht="15.75" x14ac:dyDescent="0.25">
      <c r="B48" s="141"/>
      <c r="C48" s="138"/>
      <c r="D48" s="132"/>
      <c r="E48" s="15" t="s">
        <v>5</v>
      </c>
      <c r="F48" s="13">
        <f>SUM(G48:L48)</f>
        <v>803</v>
      </c>
      <c r="G48" s="16">
        <f t="shared" ref="G48:L51" si="27">G53+G58</f>
        <v>85</v>
      </c>
      <c r="H48" s="16">
        <f t="shared" si="27"/>
        <v>150</v>
      </c>
      <c r="I48" s="16">
        <v>71</v>
      </c>
      <c r="J48" s="16">
        <f>J53+J58</f>
        <v>184</v>
      </c>
      <c r="K48" s="16">
        <f t="shared" si="27"/>
        <v>153</v>
      </c>
      <c r="L48" s="16">
        <f t="shared" si="27"/>
        <v>160</v>
      </c>
    </row>
    <row r="49" spans="2:12" s="1" customFormat="1" ht="15.75" x14ac:dyDescent="0.25">
      <c r="B49" s="129"/>
      <c r="C49" s="138"/>
      <c r="D49" s="132"/>
      <c r="E49" s="15" t="s">
        <v>3</v>
      </c>
      <c r="F49" s="13">
        <f>SUM(G49:L49)</f>
        <v>0</v>
      </c>
      <c r="G49" s="16">
        <f t="shared" si="27"/>
        <v>0</v>
      </c>
      <c r="H49" s="16">
        <f t="shared" si="27"/>
        <v>0</v>
      </c>
      <c r="I49" s="16">
        <f t="shared" si="27"/>
        <v>0</v>
      </c>
      <c r="J49" s="16">
        <f t="shared" si="27"/>
        <v>0</v>
      </c>
      <c r="K49" s="16">
        <f t="shared" si="27"/>
        <v>0</v>
      </c>
      <c r="L49" s="16">
        <f t="shared" si="27"/>
        <v>0</v>
      </c>
    </row>
    <row r="50" spans="2:12" s="1" customFormat="1" ht="15.75" x14ac:dyDescent="0.25">
      <c r="B50" s="129"/>
      <c r="C50" s="138"/>
      <c r="D50" s="132"/>
      <c r="E50" s="15" t="s">
        <v>4</v>
      </c>
      <c r="F50" s="13">
        <f t="shared" ref="F50:F73" si="28">SUM(G50:L50)</f>
        <v>0</v>
      </c>
      <c r="G50" s="16">
        <f t="shared" si="27"/>
        <v>0</v>
      </c>
      <c r="H50" s="16">
        <f t="shared" si="27"/>
        <v>0</v>
      </c>
      <c r="I50" s="16">
        <f t="shared" si="27"/>
        <v>0</v>
      </c>
      <c r="J50" s="16">
        <f t="shared" si="27"/>
        <v>0</v>
      </c>
      <c r="K50" s="16">
        <f t="shared" si="27"/>
        <v>0</v>
      </c>
      <c r="L50" s="16">
        <f t="shared" si="27"/>
        <v>0</v>
      </c>
    </row>
    <row r="51" spans="2:12" s="1" customFormat="1" ht="15.75" x14ac:dyDescent="0.25">
      <c r="B51" s="129"/>
      <c r="C51" s="138"/>
      <c r="D51" s="132"/>
      <c r="E51" s="15" t="s">
        <v>6</v>
      </c>
      <c r="F51" s="13">
        <f t="shared" si="28"/>
        <v>0</v>
      </c>
      <c r="G51" s="16">
        <f t="shared" si="27"/>
        <v>0</v>
      </c>
      <c r="H51" s="16">
        <f t="shared" si="27"/>
        <v>0</v>
      </c>
      <c r="I51" s="16">
        <f t="shared" si="27"/>
        <v>0</v>
      </c>
      <c r="J51" s="16">
        <f t="shared" si="27"/>
        <v>0</v>
      </c>
      <c r="K51" s="16">
        <f t="shared" si="27"/>
        <v>0</v>
      </c>
      <c r="L51" s="16">
        <f t="shared" si="27"/>
        <v>0</v>
      </c>
    </row>
    <row r="52" spans="2:12" s="1" customFormat="1" ht="25.5" customHeight="1" x14ac:dyDescent="0.25">
      <c r="B52" s="150" t="s">
        <v>11</v>
      </c>
      <c r="C52" s="131" t="s">
        <v>251</v>
      </c>
      <c r="D52" s="132" t="s">
        <v>1</v>
      </c>
      <c r="E52" s="12" t="s">
        <v>2</v>
      </c>
      <c r="F52" s="13">
        <f>SUM(F53:F56)</f>
        <v>4</v>
      </c>
      <c r="G52" s="13">
        <f t="shared" ref="G52:L52" si="29">SUM(G53:G56)</f>
        <v>4</v>
      </c>
      <c r="H52" s="13">
        <f t="shared" si="29"/>
        <v>0</v>
      </c>
      <c r="I52" s="13">
        <f t="shared" si="29"/>
        <v>0</v>
      </c>
      <c r="J52" s="13">
        <f t="shared" si="29"/>
        <v>0</v>
      </c>
      <c r="K52" s="13">
        <f t="shared" si="29"/>
        <v>0</v>
      </c>
      <c r="L52" s="13">
        <f t="shared" si="29"/>
        <v>0</v>
      </c>
    </row>
    <row r="53" spans="2:12" s="1" customFormat="1" ht="25.5" customHeight="1" x14ac:dyDescent="0.25">
      <c r="B53" s="151"/>
      <c r="C53" s="131"/>
      <c r="D53" s="132"/>
      <c r="E53" s="15" t="s">
        <v>5</v>
      </c>
      <c r="F53" s="13">
        <f>SUM(G53:L53)</f>
        <v>4</v>
      </c>
      <c r="G53" s="16">
        <v>4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</row>
    <row r="54" spans="2:12" s="1" customFormat="1" ht="25.5" customHeight="1" x14ac:dyDescent="0.25">
      <c r="B54" s="151"/>
      <c r="C54" s="131"/>
      <c r="D54" s="132"/>
      <c r="E54" s="15" t="s">
        <v>3</v>
      </c>
      <c r="F54" s="13">
        <f>SUM(G54:L54)</f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s="1" customFormat="1" ht="25.5" customHeight="1" x14ac:dyDescent="0.25">
      <c r="B55" s="151"/>
      <c r="C55" s="131"/>
      <c r="D55" s="132"/>
      <c r="E55" s="15" t="s">
        <v>4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</row>
    <row r="56" spans="2:12" s="1" customFormat="1" ht="25.5" customHeight="1" x14ac:dyDescent="0.25">
      <c r="B56" s="152"/>
      <c r="C56" s="131"/>
      <c r="D56" s="132"/>
      <c r="E56" s="15" t="s">
        <v>6</v>
      </c>
      <c r="F56" s="13">
        <f t="shared" si="28"/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</row>
    <row r="57" spans="2:12" s="1" customFormat="1" ht="15.75" x14ac:dyDescent="0.25">
      <c r="B57" s="150" t="s">
        <v>13</v>
      </c>
      <c r="C57" s="145" t="s">
        <v>109</v>
      </c>
      <c r="D57" s="133" t="s">
        <v>1</v>
      </c>
      <c r="E57" s="12" t="s">
        <v>2</v>
      </c>
      <c r="F57" s="13">
        <f>SUM(F58:F61)</f>
        <v>799</v>
      </c>
      <c r="G57" s="13">
        <f t="shared" ref="G57:L57" si="30">SUM(G58:G61)</f>
        <v>81</v>
      </c>
      <c r="H57" s="13">
        <f t="shared" si="30"/>
        <v>150</v>
      </c>
      <c r="I57" s="13">
        <f t="shared" si="30"/>
        <v>71</v>
      </c>
      <c r="J57" s="13">
        <f t="shared" si="30"/>
        <v>184</v>
      </c>
      <c r="K57" s="13">
        <f t="shared" si="30"/>
        <v>153</v>
      </c>
      <c r="L57" s="13">
        <f t="shared" si="30"/>
        <v>160</v>
      </c>
    </row>
    <row r="58" spans="2:12" s="1" customFormat="1" ht="15.75" x14ac:dyDescent="0.25">
      <c r="B58" s="151"/>
      <c r="C58" s="146"/>
      <c r="D58" s="148"/>
      <c r="E58" s="15" t="s">
        <v>5</v>
      </c>
      <c r="F58" s="13">
        <f t="shared" si="28"/>
        <v>799</v>
      </c>
      <c r="G58" s="16">
        <f>G63+G68+G73</f>
        <v>81</v>
      </c>
      <c r="H58" s="16">
        <f t="shared" ref="H58" si="31">H63+H68+H73</f>
        <v>150</v>
      </c>
      <c r="I58" s="16">
        <v>71</v>
      </c>
      <c r="J58" s="16">
        <v>184</v>
      </c>
      <c r="K58" s="16">
        <v>153</v>
      </c>
      <c r="L58" s="16">
        <v>160</v>
      </c>
    </row>
    <row r="59" spans="2:12" s="1" customFormat="1" ht="15.75" x14ac:dyDescent="0.25">
      <c r="B59" s="151"/>
      <c r="C59" s="146"/>
      <c r="D59" s="148"/>
      <c r="E59" s="15" t="s">
        <v>3</v>
      </c>
      <c r="F59" s="13">
        <f>SUM(G59:L59)</f>
        <v>0</v>
      </c>
      <c r="G59" s="16">
        <f t="shared" ref="G59:L61" si="32">G64+G69+G74</f>
        <v>0</v>
      </c>
      <c r="H59" s="16">
        <f t="shared" si="32"/>
        <v>0</v>
      </c>
      <c r="I59" s="16">
        <f t="shared" si="32"/>
        <v>0</v>
      </c>
      <c r="J59" s="16">
        <f t="shared" si="32"/>
        <v>0</v>
      </c>
      <c r="K59" s="16">
        <f t="shared" si="32"/>
        <v>0</v>
      </c>
      <c r="L59" s="16">
        <f t="shared" si="32"/>
        <v>0</v>
      </c>
    </row>
    <row r="60" spans="2:12" s="1" customFormat="1" ht="15.75" x14ac:dyDescent="0.25">
      <c r="B60" s="151"/>
      <c r="C60" s="146"/>
      <c r="D60" s="148"/>
      <c r="E60" s="15" t="s">
        <v>4</v>
      </c>
      <c r="F60" s="13">
        <f>SUM(G60:L60)</f>
        <v>0</v>
      </c>
      <c r="G60" s="16">
        <f t="shared" si="32"/>
        <v>0</v>
      </c>
      <c r="H60" s="16">
        <f t="shared" si="32"/>
        <v>0</v>
      </c>
      <c r="I60" s="16">
        <f t="shared" si="32"/>
        <v>0</v>
      </c>
      <c r="J60" s="16">
        <f t="shared" si="32"/>
        <v>0</v>
      </c>
      <c r="K60" s="16">
        <f t="shared" si="32"/>
        <v>0</v>
      </c>
      <c r="L60" s="16">
        <f t="shared" si="32"/>
        <v>0</v>
      </c>
    </row>
    <row r="61" spans="2:12" s="1" customFormat="1" ht="15.75" x14ac:dyDescent="0.25">
      <c r="B61" s="152"/>
      <c r="C61" s="147"/>
      <c r="D61" s="149"/>
      <c r="E61" s="15" t="s">
        <v>6</v>
      </c>
      <c r="F61" s="13">
        <f>I61</f>
        <v>0</v>
      </c>
      <c r="G61" s="16">
        <f t="shared" si="32"/>
        <v>0</v>
      </c>
      <c r="H61" s="16">
        <f t="shared" si="32"/>
        <v>0</v>
      </c>
      <c r="I61" s="16">
        <f t="shared" si="32"/>
        <v>0</v>
      </c>
      <c r="J61" s="16">
        <f t="shared" si="32"/>
        <v>0</v>
      </c>
      <c r="K61" s="16">
        <f t="shared" si="32"/>
        <v>0</v>
      </c>
      <c r="L61" s="16">
        <f t="shared" si="32"/>
        <v>0</v>
      </c>
    </row>
    <row r="62" spans="2:12" s="1" customFormat="1" ht="15.75" x14ac:dyDescent="0.25">
      <c r="B62" s="142" t="s">
        <v>110</v>
      </c>
      <c r="C62" s="145" t="s">
        <v>12</v>
      </c>
      <c r="D62" s="133" t="s">
        <v>1</v>
      </c>
      <c r="E62" s="12" t="s">
        <v>2</v>
      </c>
      <c r="F62" s="13">
        <f>F63+F64+F65+F66</f>
        <v>79</v>
      </c>
      <c r="G62" s="13">
        <f t="shared" ref="G62:L62" si="33">G63+G64+G65+G66</f>
        <v>11</v>
      </c>
      <c r="H62" s="13">
        <f t="shared" si="33"/>
        <v>36</v>
      </c>
      <c r="I62" s="13">
        <f t="shared" si="33"/>
        <v>32</v>
      </c>
      <c r="J62" s="13">
        <f t="shared" si="33"/>
        <v>0</v>
      </c>
      <c r="K62" s="13">
        <f t="shared" si="33"/>
        <v>0</v>
      </c>
      <c r="L62" s="13">
        <f t="shared" si="33"/>
        <v>0</v>
      </c>
    </row>
    <row r="63" spans="2:12" s="1" customFormat="1" ht="15.75" x14ac:dyDescent="0.25">
      <c r="B63" s="166"/>
      <c r="C63" s="154"/>
      <c r="D63" s="148"/>
      <c r="E63" s="15" t="s">
        <v>5</v>
      </c>
      <c r="F63" s="13">
        <f t="shared" si="28"/>
        <v>79</v>
      </c>
      <c r="G63" s="16">
        <v>11</v>
      </c>
      <c r="H63" s="16">
        <v>36</v>
      </c>
      <c r="I63" s="16">
        <v>32</v>
      </c>
      <c r="J63" s="16">
        <v>0</v>
      </c>
      <c r="K63" s="16">
        <v>0</v>
      </c>
      <c r="L63" s="16">
        <v>0</v>
      </c>
    </row>
    <row r="64" spans="2:12" s="1" customFormat="1" ht="15.75" x14ac:dyDescent="0.25">
      <c r="B64" s="166"/>
      <c r="C64" s="154"/>
      <c r="D64" s="148"/>
      <c r="E64" s="15" t="s">
        <v>3</v>
      </c>
      <c r="F64" s="13">
        <f>G64+H64+I64+J64+K64+L64</f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</row>
    <row r="65" spans="2:12" s="1" customFormat="1" ht="15.75" x14ac:dyDescent="0.25">
      <c r="B65" s="166"/>
      <c r="C65" s="154"/>
      <c r="D65" s="148"/>
      <c r="E65" s="15" t="s">
        <v>4</v>
      </c>
      <c r="F65" s="13">
        <f t="shared" ref="F65:F66" si="34">G65+H65+I65+J65+K65+L65</f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2:12" s="1" customFormat="1" ht="15.75" x14ac:dyDescent="0.25">
      <c r="B66" s="167"/>
      <c r="C66" s="155"/>
      <c r="D66" s="149"/>
      <c r="E66" s="15" t="s">
        <v>6</v>
      </c>
      <c r="F66" s="13">
        <f t="shared" si="34"/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s="1" customFormat="1" ht="15.75" x14ac:dyDescent="0.25">
      <c r="B67" s="142" t="s">
        <v>111</v>
      </c>
      <c r="C67" s="145" t="s">
        <v>113</v>
      </c>
      <c r="D67" s="133" t="s">
        <v>1</v>
      </c>
      <c r="E67" s="12" t="s">
        <v>2</v>
      </c>
      <c r="F67" s="13">
        <f>F68+F69+F70+F71</f>
        <v>30.9</v>
      </c>
      <c r="G67" s="13">
        <f t="shared" ref="G67:L67" si="35">G68+G69+G70+G71</f>
        <v>5.9</v>
      </c>
      <c r="H67" s="13">
        <f t="shared" si="35"/>
        <v>13</v>
      </c>
      <c r="I67" s="13">
        <f t="shared" si="35"/>
        <v>12</v>
      </c>
      <c r="J67" s="13">
        <f t="shared" si="35"/>
        <v>0</v>
      </c>
      <c r="K67" s="13">
        <f t="shared" si="35"/>
        <v>0</v>
      </c>
      <c r="L67" s="13">
        <f t="shared" si="35"/>
        <v>0</v>
      </c>
    </row>
    <row r="68" spans="2:12" s="1" customFormat="1" ht="15.75" x14ac:dyDescent="0.25">
      <c r="B68" s="143"/>
      <c r="C68" s="146"/>
      <c r="D68" s="148"/>
      <c r="E68" s="15" t="s">
        <v>5</v>
      </c>
      <c r="F68" s="13">
        <f t="shared" si="28"/>
        <v>30.9</v>
      </c>
      <c r="G68" s="16">
        <v>5.9</v>
      </c>
      <c r="H68" s="16">
        <v>13</v>
      </c>
      <c r="I68" s="16">
        <v>12</v>
      </c>
      <c r="J68" s="16">
        <v>0</v>
      </c>
      <c r="K68" s="16">
        <v>0</v>
      </c>
      <c r="L68" s="16">
        <v>0</v>
      </c>
    </row>
    <row r="69" spans="2:12" s="1" customFormat="1" ht="15.75" x14ac:dyDescent="0.25">
      <c r="B69" s="143"/>
      <c r="C69" s="146"/>
      <c r="D69" s="148"/>
      <c r="E69" s="15" t="s">
        <v>3</v>
      </c>
      <c r="F69" s="13">
        <f>G69+H69+I69+J69+K69+L69</f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</row>
    <row r="70" spans="2:12" s="1" customFormat="1" ht="15.75" x14ac:dyDescent="0.25">
      <c r="B70" s="143"/>
      <c r="C70" s="146"/>
      <c r="D70" s="148"/>
      <c r="E70" s="15" t="s">
        <v>4</v>
      </c>
      <c r="F70" s="13">
        <f>G70+H70+I70+J70+K70+L70</f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s="1" customFormat="1" ht="15.75" x14ac:dyDescent="0.25">
      <c r="B71" s="144"/>
      <c r="C71" s="147"/>
      <c r="D71" s="149"/>
      <c r="E71" s="15" t="s">
        <v>6</v>
      </c>
      <c r="F71" s="13">
        <f>G71+H71+I71+J71+K71+L71</f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</row>
    <row r="72" spans="2:12" s="1" customFormat="1" ht="15.75" x14ac:dyDescent="0.25">
      <c r="B72" s="142" t="s">
        <v>112</v>
      </c>
      <c r="C72" s="145" t="s">
        <v>114</v>
      </c>
      <c r="D72" s="133" t="s">
        <v>1</v>
      </c>
      <c r="E72" s="12" t="s">
        <v>2</v>
      </c>
      <c r="F72" s="13">
        <f>F73+F74+F75+F76</f>
        <v>192.1</v>
      </c>
      <c r="G72" s="13">
        <f t="shared" ref="G72:L72" si="36">G73+G74+G75+G76</f>
        <v>64.099999999999994</v>
      </c>
      <c r="H72" s="13">
        <f t="shared" si="36"/>
        <v>101</v>
      </c>
      <c r="I72" s="13">
        <f t="shared" si="36"/>
        <v>27</v>
      </c>
      <c r="J72" s="13">
        <f t="shared" si="36"/>
        <v>0</v>
      </c>
      <c r="K72" s="13">
        <f t="shared" si="36"/>
        <v>0</v>
      </c>
      <c r="L72" s="13">
        <f t="shared" si="36"/>
        <v>0</v>
      </c>
    </row>
    <row r="73" spans="2:12" s="1" customFormat="1" ht="15.75" x14ac:dyDescent="0.25">
      <c r="B73" s="143"/>
      <c r="C73" s="154"/>
      <c r="D73" s="148"/>
      <c r="E73" s="15" t="s">
        <v>5</v>
      </c>
      <c r="F73" s="13">
        <f t="shared" si="28"/>
        <v>192.1</v>
      </c>
      <c r="G73" s="16">
        <v>64.099999999999994</v>
      </c>
      <c r="H73" s="16">
        <f>150-H68-H63</f>
        <v>101</v>
      </c>
      <c r="I73" s="16">
        <v>27</v>
      </c>
      <c r="J73" s="16">
        <v>0</v>
      </c>
      <c r="K73" s="16">
        <v>0</v>
      </c>
      <c r="L73" s="16">
        <v>0</v>
      </c>
    </row>
    <row r="74" spans="2:12" s="1" customFormat="1" ht="15.75" x14ac:dyDescent="0.25">
      <c r="B74" s="143"/>
      <c r="C74" s="154"/>
      <c r="D74" s="148"/>
      <c r="E74" s="15" t="s">
        <v>3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s="1" customFormat="1" ht="15.75" x14ac:dyDescent="0.25">
      <c r="B75" s="143"/>
      <c r="C75" s="154"/>
      <c r="D75" s="148"/>
      <c r="E75" s="15" t="s">
        <v>4</v>
      </c>
      <c r="F75" s="13">
        <f>G75+H75+I75+J75+K75+L75</f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</row>
    <row r="76" spans="2:12" s="1" customFormat="1" ht="15.75" x14ac:dyDescent="0.25">
      <c r="B76" s="144"/>
      <c r="C76" s="155"/>
      <c r="D76" s="149"/>
      <c r="E76" s="15" t="s">
        <v>6</v>
      </c>
      <c r="F76" s="13">
        <f>I76</f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</row>
    <row r="77" spans="2:12" s="1" customFormat="1" ht="15.75" x14ac:dyDescent="0.25">
      <c r="B77" s="129" t="s">
        <v>8</v>
      </c>
      <c r="C77" s="138" t="s">
        <v>26</v>
      </c>
      <c r="D77" s="132" t="s">
        <v>1</v>
      </c>
      <c r="E77" s="12" t="s">
        <v>2</v>
      </c>
      <c r="F77" s="13">
        <f>SUM(F78:F81)</f>
        <v>422</v>
      </c>
      <c r="G77" s="13">
        <f t="shared" ref="G77:L77" si="37">SUM(G78:G81)</f>
        <v>33</v>
      </c>
      <c r="H77" s="13">
        <f t="shared" si="37"/>
        <v>215</v>
      </c>
      <c r="I77" s="13">
        <f t="shared" si="37"/>
        <v>66</v>
      </c>
      <c r="J77" s="13">
        <f t="shared" si="37"/>
        <v>50</v>
      </c>
      <c r="K77" s="13">
        <f t="shared" si="37"/>
        <v>28</v>
      </c>
      <c r="L77" s="13">
        <f t="shared" si="37"/>
        <v>30</v>
      </c>
    </row>
    <row r="78" spans="2:12" s="1" customFormat="1" ht="15.75" x14ac:dyDescent="0.25">
      <c r="B78" s="129"/>
      <c r="C78" s="138"/>
      <c r="D78" s="132"/>
      <c r="E78" s="15" t="s">
        <v>5</v>
      </c>
      <c r="F78" s="13">
        <f t="shared" ref="F78" si="38">SUM(G78:L78)</f>
        <v>422</v>
      </c>
      <c r="G78" s="16">
        <f t="shared" ref="G78:L81" si="39">G83</f>
        <v>33</v>
      </c>
      <c r="H78" s="16">
        <f t="shared" si="39"/>
        <v>215</v>
      </c>
      <c r="I78" s="16">
        <f t="shared" si="39"/>
        <v>66</v>
      </c>
      <c r="J78" s="16">
        <f t="shared" si="39"/>
        <v>50</v>
      </c>
      <c r="K78" s="16">
        <f t="shared" si="39"/>
        <v>28</v>
      </c>
      <c r="L78" s="16">
        <f t="shared" si="39"/>
        <v>30</v>
      </c>
    </row>
    <row r="79" spans="2:12" s="1" customFormat="1" ht="15.75" x14ac:dyDescent="0.25">
      <c r="B79" s="129"/>
      <c r="C79" s="131"/>
      <c r="D79" s="132"/>
      <c r="E79" s="15" t="s">
        <v>3</v>
      </c>
      <c r="F79" s="13">
        <f>SUM(G79:L79)</f>
        <v>0</v>
      </c>
      <c r="G79" s="16">
        <f t="shared" si="39"/>
        <v>0</v>
      </c>
      <c r="H79" s="16">
        <f t="shared" si="39"/>
        <v>0</v>
      </c>
      <c r="I79" s="16">
        <f t="shared" si="39"/>
        <v>0</v>
      </c>
      <c r="J79" s="16">
        <f t="shared" si="39"/>
        <v>0</v>
      </c>
      <c r="K79" s="16">
        <f t="shared" si="39"/>
        <v>0</v>
      </c>
      <c r="L79" s="16">
        <f t="shared" si="39"/>
        <v>0</v>
      </c>
    </row>
    <row r="80" spans="2:12" s="1" customFormat="1" ht="15.75" x14ac:dyDescent="0.25">
      <c r="B80" s="129"/>
      <c r="C80" s="131"/>
      <c r="D80" s="132"/>
      <c r="E80" s="15" t="s">
        <v>4</v>
      </c>
      <c r="F80" s="13">
        <f t="shared" ref="F80:F81" si="40">SUM(G80:L80)</f>
        <v>0</v>
      </c>
      <c r="G80" s="16">
        <f t="shared" si="39"/>
        <v>0</v>
      </c>
      <c r="H80" s="16">
        <f t="shared" si="39"/>
        <v>0</v>
      </c>
      <c r="I80" s="16">
        <f t="shared" si="39"/>
        <v>0</v>
      </c>
      <c r="J80" s="16">
        <f t="shared" si="39"/>
        <v>0</v>
      </c>
      <c r="K80" s="16">
        <f t="shared" si="39"/>
        <v>0</v>
      </c>
      <c r="L80" s="16">
        <f t="shared" si="39"/>
        <v>0</v>
      </c>
    </row>
    <row r="81" spans="2:12" s="1" customFormat="1" ht="15.75" x14ac:dyDescent="0.25">
      <c r="B81" s="129"/>
      <c r="C81" s="131"/>
      <c r="D81" s="132"/>
      <c r="E81" s="15" t="s">
        <v>6</v>
      </c>
      <c r="F81" s="13">
        <f t="shared" si="40"/>
        <v>0</v>
      </c>
      <c r="G81" s="16">
        <f t="shared" si="39"/>
        <v>0</v>
      </c>
      <c r="H81" s="16">
        <f t="shared" si="39"/>
        <v>0</v>
      </c>
      <c r="I81" s="16">
        <f t="shared" si="39"/>
        <v>0</v>
      </c>
      <c r="J81" s="16">
        <f t="shared" si="39"/>
        <v>0</v>
      </c>
      <c r="K81" s="16">
        <f t="shared" si="39"/>
        <v>0</v>
      </c>
      <c r="L81" s="16">
        <f t="shared" si="39"/>
        <v>0</v>
      </c>
    </row>
    <row r="82" spans="2:12" s="1" customFormat="1" ht="15.75" x14ac:dyDescent="0.25">
      <c r="B82" s="161" t="s">
        <v>27</v>
      </c>
      <c r="C82" s="131" t="s">
        <v>28</v>
      </c>
      <c r="D82" s="132" t="s">
        <v>1</v>
      </c>
      <c r="E82" s="12" t="s">
        <v>2</v>
      </c>
      <c r="F82" s="13">
        <f>SUM(F83:F86)</f>
        <v>422</v>
      </c>
      <c r="G82" s="13">
        <f t="shared" ref="G82:L82" si="41">SUM(G83:G86)</f>
        <v>33</v>
      </c>
      <c r="H82" s="13">
        <f t="shared" si="41"/>
        <v>215</v>
      </c>
      <c r="I82" s="13">
        <f t="shared" si="41"/>
        <v>66</v>
      </c>
      <c r="J82" s="13">
        <f t="shared" si="41"/>
        <v>50</v>
      </c>
      <c r="K82" s="13">
        <f t="shared" si="41"/>
        <v>28</v>
      </c>
      <c r="L82" s="13">
        <f t="shared" si="41"/>
        <v>30</v>
      </c>
    </row>
    <row r="83" spans="2:12" s="1" customFormat="1" ht="15.75" x14ac:dyDescent="0.25">
      <c r="B83" s="161"/>
      <c r="C83" s="131"/>
      <c r="D83" s="132"/>
      <c r="E83" s="15" t="s">
        <v>5</v>
      </c>
      <c r="F83" s="13">
        <f t="shared" ref="F83" si="42">SUM(G83:L83)</f>
        <v>422</v>
      </c>
      <c r="G83" s="16">
        <v>33</v>
      </c>
      <c r="H83" s="16">
        <v>215</v>
      </c>
      <c r="I83" s="16">
        <v>66</v>
      </c>
      <c r="J83" s="16">
        <v>50</v>
      </c>
      <c r="K83" s="16">
        <v>28</v>
      </c>
      <c r="L83" s="16">
        <v>30</v>
      </c>
    </row>
    <row r="84" spans="2:12" s="1" customFormat="1" ht="15.75" x14ac:dyDescent="0.25">
      <c r="B84" s="140"/>
      <c r="C84" s="131"/>
      <c r="D84" s="132"/>
      <c r="E84" s="15" t="s">
        <v>3</v>
      </c>
      <c r="F84" s="13">
        <f>SUM(G84:L84)</f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</row>
    <row r="85" spans="2:12" s="1" customFormat="1" ht="15.75" x14ac:dyDescent="0.25">
      <c r="B85" s="140"/>
      <c r="C85" s="131"/>
      <c r="D85" s="132"/>
      <c r="E85" s="15" t="s">
        <v>4</v>
      </c>
      <c r="F85" s="13">
        <f t="shared" ref="F85:F86" si="43">SUM(G85:L85)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</row>
    <row r="86" spans="2:12" s="1" customFormat="1" ht="15.75" x14ac:dyDescent="0.25">
      <c r="B86" s="140"/>
      <c r="C86" s="131"/>
      <c r="D86" s="132"/>
      <c r="E86" s="15" t="s">
        <v>6</v>
      </c>
      <c r="F86" s="13">
        <f t="shared" si="43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s="1" customFormat="1" ht="29.25" customHeight="1" x14ac:dyDescent="0.25">
      <c r="B87" s="129" t="s">
        <v>9</v>
      </c>
      <c r="C87" s="138" t="s">
        <v>168</v>
      </c>
      <c r="D87" s="132" t="s">
        <v>1</v>
      </c>
      <c r="E87" s="12" t="s">
        <v>2</v>
      </c>
      <c r="F87" s="13">
        <f>SUM(F88:F91)</f>
        <v>2064623.2999999998</v>
      </c>
      <c r="G87" s="13">
        <f t="shared" ref="G87:L87" si="44">SUM(G88:G91)</f>
        <v>300984.2</v>
      </c>
      <c r="H87" s="13">
        <f t="shared" si="44"/>
        <v>339774.9</v>
      </c>
      <c r="I87" s="13">
        <f t="shared" si="44"/>
        <v>370258.1</v>
      </c>
      <c r="J87" s="13">
        <f t="shared" si="44"/>
        <v>370817.3</v>
      </c>
      <c r="K87" s="13">
        <f t="shared" si="44"/>
        <v>341394.4</v>
      </c>
      <c r="L87" s="13">
        <f t="shared" si="44"/>
        <v>341394.4</v>
      </c>
    </row>
    <row r="88" spans="2:12" s="1" customFormat="1" ht="29.25" customHeight="1" x14ac:dyDescent="0.25">
      <c r="B88" s="129"/>
      <c r="C88" s="138"/>
      <c r="D88" s="132"/>
      <c r="E88" s="15" t="s">
        <v>5</v>
      </c>
      <c r="F88" s="13">
        <f t="shared" ref="F88" si="45">SUM(G88:L88)</f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</row>
    <row r="89" spans="2:12" s="1" customFormat="1" ht="29.25" customHeight="1" x14ac:dyDescent="0.25">
      <c r="B89" s="129"/>
      <c r="C89" s="138"/>
      <c r="D89" s="132"/>
      <c r="E89" s="15" t="s">
        <v>3</v>
      </c>
      <c r="F89" s="13">
        <f>SUM(G89:L89)</f>
        <v>2064623.2999999998</v>
      </c>
      <c r="G89" s="16">
        <v>300984.2</v>
      </c>
      <c r="H89" s="16">
        <v>339774.9</v>
      </c>
      <c r="I89" s="16">
        <v>370258.1</v>
      </c>
      <c r="J89" s="16">
        <v>370817.3</v>
      </c>
      <c r="K89" s="16">
        <v>341394.4</v>
      </c>
      <c r="L89" s="16">
        <v>341394.4</v>
      </c>
    </row>
    <row r="90" spans="2:12" s="1" customFormat="1" ht="29.25" customHeight="1" x14ac:dyDescent="0.25">
      <c r="B90" s="129"/>
      <c r="C90" s="138"/>
      <c r="D90" s="132"/>
      <c r="E90" s="15" t="s">
        <v>4</v>
      </c>
      <c r="F90" s="13">
        <f t="shared" ref="F90:F91" si="46">SUM(G90:L90)</f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s="1" customFormat="1" ht="29.25" customHeight="1" x14ac:dyDescent="0.25">
      <c r="B91" s="129"/>
      <c r="C91" s="138"/>
      <c r="D91" s="132"/>
      <c r="E91" s="15" t="s">
        <v>6</v>
      </c>
      <c r="F91" s="13">
        <f t="shared" si="46"/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</row>
    <row r="92" spans="2:12" s="1" customFormat="1" ht="28.5" customHeight="1" x14ac:dyDescent="0.25">
      <c r="B92" s="129">
        <v>5</v>
      </c>
      <c r="C92" s="138" t="s">
        <v>141</v>
      </c>
      <c r="D92" s="132" t="s">
        <v>1</v>
      </c>
      <c r="E92" s="12" t="s">
        <v>2</v>
      </c>
      <c r="F92" s="13">
        <f>SUM(F93:F96)</f>
        <v>61136.399999999994</v>
      </c>
      <c r="G92" s="13">
        <f t="shared" ref="G92:L92" si="47">SUM(G93:G96)</f>
        <v>0</v>
      </c>
      <c r="H92" s="13">
        <f t="shared" si="47"/>
        <v>15189.699999999999</v>
      </c>
      <c r="I92" s="13">
        <f t="shared" si="47"/>
        <v>45946.7</v>
      </c>
      <c r="J92" s="13">
        <f t="shared" si="47"/>
        <v>0</v>
      </c>
      <c r="K92" s="13">
        <f t="shared" si="47"/>
        <v>0</v>
      </c>
      <c r="L92" s="13">
        <f t="shared" si="47"/>
        <v>0</v>
      </c>
    </row>
    <row r="93" spans="2:12" s="1" customFormat="1" ht="28.5" customHeight="1" x14ac:dyDescent="0.25">
      <c r="B93" s="129"/>
      <c r="C93" s="138"/>
      <c r="D93" s="132"/>
      <c r="E93" s="15" t="s">
        <v>5</v>
      </c>
      <c r="F93" s="13">
        <f t="shared" ref="F93" si="48">SUM(G93:L93)</f>
        <v>5502.2999999999993</v>
      </c>
      <c r="G93" s="16">
        <v>0</v>
      </c>
      <c r="H93" s="16">
        <f>3216.5-1849.4</f>
        <v>1367.1</v>
      </c>
      <c r="I93" s="16">
        <v>4135.2</v>
      </c>
      <c r="J93" s="16">
        <v>0</v>
      </c>
      <c r="K93" s="16">
        <v>0</v>
      </c>
      <c r="L93" s="16">
        <v>0</v>
      </c>
    </row>
    <row r="94" spans="2:12" s="1" customFormat="1" ht="28.5" customHeight="1" x14ac:dyDescent="0.25">
      <c r="B94" s="129"/>
      <c r="C94" s="138"/>
      <c r="D94" s="132"/>
      <c r="E94" s="15" t="s">
        <v>3</v>
      </c>
      <c r="F94" s="13">
        <f>SUM(G94:L94)</f>
        <v>55634.1</v>
      </c>
      <c r="G94" s="16">
        <v>0</v>
      </c>
      <c r="H94" s="16">
        <f>32522.6-18700</f>
        <v>13822.599999999999</v>
      </c>
      <c r="I94" s="16">
        <v>41811.5</v>
      </c>
      <c r="J94" s="16">
        <v>0</v>
      </c>
      <c r="K94" s="16">
        <v>0</v>
      </c>
      <c r="L94" s="16">
        <v>0</v>
      </c>
    </row>
    <row r="95" spans="2:12" s="1" customFormat="1" ht="28.5" customHeight="1" x14ac:dyDescent="0.25">
      <c r="B95" s="129"/>
      <c r="C95" s="138"/>
      <c r="D95" s="132"/>
      <c r="E95" s="15" t="s">
        <v>4</v>
      </c>
      <c r="F95" s="13">
        <f t="shared" ref="F95:F96" si="49">SUM(G95:L95)</f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</row>
    <row r="96" spans="2:12" s="1" customFormat="1" ht="28.5" customHeight="1" x14ac:dyDescent="0.25">
      <c r="B96" s="129"/>
      <c r="C96" s="138"/>
      <c r="D96" s="132"/>
      <c r="E96" s="15" t="s">
        <v>6</v>
      </c>
      <c r="F96" s="13">
        <f t="shared" si="49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</row>
    <row r="97" spans="2:12" s="1" customFormat="1" ht="15.75" x14ac:dyDescent="0.25">
      <c r="B97" s="129">
        <v>6</v>
      </c>
      <c r="C97" s="138" t="s">
        <v>212</v>
      </c>
      <c r="D97" s="132" t="s">
        <v>1</v>
      </c>
      <c r="E97" s="12" t="s">
        <v>2</v>
      </c>
      <c r="F97" s="13">
        <f>SUM(F98:F101)</f>
        <v>0</v>
      </c>
      <c r="G97" s="13">
        <f t="shared" ref="G97:L97" si="50">SUM(G98:G101)</f>
        <v>0</v>
      </c>
      <c r="H97" s="13">
        <f t="shared" si="50"/>
        <v>0</v>
      </c>
      <c r="I97" s="13">
        <f t="shared" si="50"/>
        <v>0</v>
      </c>
      <c r="J97" s="13">
        <f t="shared" si="50"/>
        <v>0</v>
      </c>
      <c r="K97" s="13">
        <f t="shared" si="50"/>
        <v>0</v>
      </c>
      <c r="L97" s="13">
        <f t="shared" si="50"/>
        <v>0</v>
      </c>
    </row>
    <row r="98" spans="2:12" s="1" customFormat="1" ht="15.75" x14ac:dyDescent="0.25">
      <c r="B98" s="129"/>
      <c r="C98" s="138"/>
      <c r="D98" s="132"/>
      <c r="E98" s="15" t="s">
        <v>5</v>
      </c>
      <c r="F98" s="13">
        <f t="shared" ref="F98" si="51">SUM(G98:L98)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</row>
    <row r="99" spans="2:12" s="1" customFormat="1" ht="15.75" x14ac:dyDescent="0.25">
      <c r="B99" s="129"/>
      <c r="C99" s="138"/>
      <c r="D99" s="132"/>
      <c r="E99" s="15" t="s">
        <v>3</v>
      </c>
      <c r="F99" s="13">
        <f>SUM(G99:L99)</f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</row>
    <row r="100" spans="2:12" s="1" customFormat="1" ht="15.75" x14ac:dyDescent="0.25">
      <c r="B100" s="129"/>
      <c r="C100" s="138"/>
      <c r="D100" s="132"/>
      <c r="E100" s="15" t="s">
        <v>4</v>
      </c>
      <c r="F100" s="13">
        <f t="shared" ref="F100:F101" si="52">SUM(G100:L100)</f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</row>
    <row r="101" spans="2:12" s="1" customFormat="1" ht="15.75" x14ac:dyDescent="0.25">
      <c r="B101" s="129"/>
      <c r="C101" s="138"/>
      <c r="D101" s="132"/>
      <c r="E101" s="15" t="s">
        <v>6</v>
      </c>
      <c r="F101" s="13">
        <f t="shared" si="52"/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</row>
    <row r="102" spans="2:12" s="1" customFormat="1" ht="15.75" customHeight="1" x14ac:dyDescent="0.25">
      <c r="B102" s="129">
        <v>7</v>
      </c>
      <c r="C102" s="138" t="s">
        <v>211</v>
      </c>
      <c r="D102" s="132" t="s">
        <v>1</v>
      </c>
      <c r="E102" s="12" t="s">
        <v>2</v>
      </c>
      <c r="F102" s="13">
        <f>SUM(F103:F106)</f>
        <v>36146.6</v>
      </c>
      <c r="G102" s="13">
        <f t="shared" ref="G102:L102" si="53">SUM(G103:G106)</f>
        <v>0</v>
      </c>
      <c r="H102" s="13">
        <f t="shared" si="53"/>
        <v>0</v>
      </c>
      <c r="I102" s="13">
        <f t="shared" si="53"/>
        <v>35414.6</v>
      </c>
      <c r="J102" s="13">
        <f t="shared" si="53"/>
        <v>732</v>
      </c>
      <c r="K102" s="13">
        <f t="shared" si="53"/>
        <v>0</v>
      </c>
      <c r="L102" s="13">
        <f t="shared" si="53"/>
        <v>0</v>
      </c>
    </row>
    <row r="103" spans="2:12" s="1" customFormat="1" ht="15.75" x14ac:dyDescent="0.25">
      <c r="B103" s="129"/>
      <c r="C103" s="138"/>
      <c r="D103" s="132"/>
      <c r="E103" s="15" t="s">
        <v>5</v>
      </c>
      <c r="F103" s="13">
        <f t="shared" ref="F103" si="54">SUM(G103:L103)</f>
        <v>2821.2000000000003</v>
      </c>
      <c r="G103" s="16">
        <v>0</v>
      </c>
      <c r="H103" s="16">
        <v>0</v>
      </c>
      <c r="I103" s="16">
        <v>2755.3</v>
      </c>
      <c r="J103" s="16">
        <v>65.900000000000006</v>
      </c>
      <c r="K103" s="16">
        <v>0</v>
      </c>
      <c r="L103" s="16">
        <v>0</v>
      </c>
    </row>
    <row r="104" spans="2:12" s="1" customFormat="1" ht="15.75" x14ac:dyDescent="0.25">
      <c r="B104" s="129"/>
      <c r="C104" s="138"/>
      <c r="D104" s="132"/>
      <c r="E104" s="15" t="s">
        <v>3</v>
      </c>
      <c r="F104" s="13">
        <f>SUM(G104:L104)</f>
        <v>33325.4</v>
      </c>
      <c r="G104" s="16">
        <v>0</v>
      </c>
      <c r="H104" s="16">
        <v>0</v>
      </c>
      <c r="I104" s="16">
        <v>32659.3</v>
      </c>
      <c r="J104" s="16">
        <v>666.1</v>
      </c>
      <c r="K104" s="16">
        <v>0</v>
      </c>
      <c r="L104" s="16">
        <v>0</v>
      </c>
    </row>
    <row r="105" spans="2:12" s="1" customFormat="1" ht="15.75" x14ac:dyDescent="0.25">
      <c r="B105" s="129"/>
      <c r="C105" s="138"/>
      <c r="D105" s="132"/>
      <c r="E105" s="15" t="s">
        <v>4</v>
      </c>
      <c r="F105" s="13">
        <f t="shared" ref="F105:F106" si="55">SUM(G105:L105)</f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2:12" s="1" customFormat="1" ht="15.75" x14ac:dyDescent="0.25">
      <c r="B106" s="129"/>
      <c r="C106" s="138"/>
      <c r="D106" s="132"/>
      <c r="E106" s="15" t="s">
        <v>6</v>
      </c>
      <c r="F106" s="13">
        <f t="shared" si="55"/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s="1" customFormat="1" ht="15.75" x14ac:dyDescent="0.25">
      <c r="B107" s="150">
        <v>8</v>
      </c>
      <c r="C107" s="168" t="s">
        <v>219</v>
      </c>
      <c r="D107" s="132" t="s">
        <v>1</v>
      </c>
      <c r="E107" s="12" t="s">
        <v>2</v>
      </c>
      <c r="F107" s="13">
        <f>SUM(F108:F111)</f>
        <v>79376.400000000009</v>
      </c>
      <c r="G107" s="13">
        <f t="shared" ref="G107:L107" si="56">SUM(G108:G111)</f>
        <v>0</v>
      </c>
      <c r="H107" s="13">
        <f t="shared" si="56"/>
        <v>0</v>
      </c>
      <c r="I107" s="13">
        <f t="shared" si="56"/>
        <v>0</v>
      </c>
      <c r="J107" s="13">
        <f t="shared" si="56"/>
        <v>33317</v>
      </c>
      <c r="K107" s="13">
        <f t="shared" si="56"/>
        <v>46059.4</v>
      </c>
      <c r="L107" s="13">
        <f t="shared" si="56"/>
        <v>0</v>
      </c>
    </row>
    <row r="108" spans="2:12" s="1" customFormat="1" ht="15.75" x14ac:dyDescent="0.25">
      <c r="B108" s="151"/>
      <c r="C108" s="169"/>
      <c r="D108" s="132"/>
      <c r="E108" s="15" t="s">
        <v>5</v>
      </c>
      <c r="F108" s="13">
        <f t="shared" ref="F108" si="57">SUM(G108:L108)</f>
        <v>10789.1</v>
      </c>
      <c r="G108" s="16">
        <v>0</v>
      </c>
      <c r="H108" s="16">
        <v>0</v>
      </c>
      <c r="I108" s="16">
        <v>0</v>
      </c>
      <c r="J108" s="16">
        <f>2967+350</f>
        <v>3317</v>
      </c>
      <c r="K108" s="16">
        <f>3816.3+3655.8</f>
        <v>7472.1</v>
      </c>
      <c r="L108" s="16">
        <v>0</v>
      </c>
    </row>
    <row r="109" spans="2:12" s="1" customFormat="1" ht="15.75" x14ac:dyDescent="0.25">
      <c r="B109" s="151"/>
      <c r="C109" s="169"/>
      <c r="D109" s="132"/>
      <c r="E109" s="15" t="s">
        <v>3</v>
      </c>
      <c r="F109" s="13">
        <f>SUM(G109:L109)</f>
        <v>68587.3</v>
      </c>
      <c r="G109" s="16">
        <v>0</v>
      </c>
      <c r="H109" s="16">
        <v>0</v>
      </c>
      <c r="I109" s="16">
        <v>0</v>
      </c>
      <c r="J109" s="16">
        <v>30000</v>
      </c>
      <c r="K109" s="16">
        <v>38587.300000000003</v>
      </c>
      <c r="L109" s="16">
        <v>0</v>
      </c>
    </row>
    <row r="110" spans="2:12" s="1" customFormat="1" ht="15.75" x14ac:dyDescent="0.25">
      <c r="B110" s="151"/>
      <c r="C110" s="169"/>
      <c r="D110" s="132"/>
      <c r="E110" s="15" t="s">
        <v>4</v>
      </c>
      <c r="F110" s="13">
        <f t="shared" ref="F110:F111" si="58">SUM(G110:L110)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s="1" customFormat="1" ht="15.75" x14ac:dyDescent="0.25">
      <c r="B111" s="152"/>
      <c r="C111" s="170"/>
      <c r="D111" s="132"/>
      <c r="E111" s="15" t="s">
        <v>6</v>
      </c>
      <c r="F111" s="13">
        <f t="shared" si="58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</row>
    <row r="112" spans="2:12" s="1" customFormat="1" ht="25.5" customHeight="1" x14ac:dyDescent="0.25">
      <c r="B112" s="150">
        <v>9</v>
      </c>
      <c r="C112" s="168" t="s">
        <v>220</v>
      </c>
      <c r="D112" s="132" t="s">
        <v>1</v>
      </c>
      <c r="E112" s="12" t="s">
        <v>2</v>
      </c>
      <c r="F112" s="13">
        <f>SUM(F113:F116)</f>
        <v>0</v>
      </c>
      <c r="G112" s="13">
        <f t="shared" ref="G112:L112" si="59">SUM(G113:G116)</f>
        <v>0</v>
      </c>
      <c r="H112" s="13">
        <f t="shared" si="59"/>
        <v>0</v>
      </c>
      <c r="I112" s="13">
        <f t="shared" si="59"/>
        <v>0</v>
      </c>
      <c r="J112" s="13">
        <f t="shared" si="59"/>
        <v>0</v>
      </c>
      <c r="K112" s="13">
        <f t="shared" si="59"/>
        <v>0</v>
      </c>
      <c r="L112" s="13">
        <f t="shared" si="59"/>
        <v>0</v>
      </c>
    </row>
    <row r="113" spans="2:14" s="1" customFormat="1" ht="25.5" customHeight="1" x14ac:dyDescent="0.25">
      <c r="B113" s="151"/>
      <c r="C113" s="169"/>
      <c r="D113" s="132"/>
      <c r="E113" s="15" t="s">
        <v>5</v>
      </c>
      <c r="F113" s="13">
        <f t="shared" ref="F113" si="60">SUM(G113:L113)</f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</row>
    <row r="114" spans="2:14" s="1" customFormat="1" ht="25.5" customHeight="1" x14ac:dyDescent="0.25">
      <c r="B114" s="151"/>
      <c r="C114" s="169"/>
      <c r="D114" s="132"/>
      <c r="E114" s="15" t="s">
        <v>3</v>
      </c>
      <c r="F114" s="13">
        <f>SUM(G114:L114)</f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4" s="1" customFormat="1" ht="25.5" customHeight="1" x14ac:dyDescent="0.25">
      <c r="B115" s="151"/>
      <c r="C115" s="169"/>
      <c r="D115" s="132"/>
      <c r="E115" s="15" t="s">
        <v>4</v>
      </c>
      <c r="F115" s="13">
        <f t="shared" ref="F115:F116" si="61">SUM(G115:L115)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</row>
    <row r="116" spans="2:14" s="1" customFormat="1" ht="25.5" customHeight="1" x14ac:dyDescent="0.25">
      <c r="B116" s="152"/>
      <c r="C116" s="170"/>
      <c r="D116" s="132"/>
      <c r="E116" s="15" t="s">
        <v>6</v>
      </c>
      <c r="F116" s="13">
        <f t="shared" si="61"/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</row>
    <row r="117" spans="2:14" s="1" customFormat="1" ht="15.75" customHeight="1" x14ac:dyDescent="0.25">
      <c r="B117" s="129"/>
      <c r="C117" s="133"/>
      <c r="D117" s="132" t="s">
        <v>1</v>
      </c>
      <c r="E117" s="12" t="s">
        <v>2</v>
      </c>
      <c r="F117" s="13">
        <f>SUM(F118:F121)</f>
        <v>2795992.5000000005</v>
      </c>
      <c r="G117" s="13">
        <f t="shared" ref="G117:L117" si="62">SUM(G118:G121)</f>
        <v>377577.6</v>
      </c>
      <c r="H117" s="13">
        <f t="shared" si="62"/>
        <v>449353</v>
      </c>
      <c r="I117" s="13">
        <f>SUM(I118:I121)</f>
        <v>573103.1</v>
      </c>
      <c r="J117" s="13">
        <f>SUM(J118:J121)</f>
        <v>527000.6</v>
      </c>
      <c r="K117" s="13">
        <f t="shared" si="62"/>
        <v>460332.10000000003</v>
      </c>
      <c r="L117" s="13">
        <f t="shared" si="62"/>
        <v>408626.10000000003</v>
      </c>
      <c r="N117" s="59"/>
    </row>
    <row r="118" spans="2:14" s="1" customFormat="1" ht="15.75" x14ac:dyDescent="0.25">
      <c r="B118" s="129"/>
      <c r="C118" s="158"/>
      <c r="D118" s="132"/>
      <c r="E118" s="12" t="s">
        <v>5</v>
      </c>
      <c r="F118" s="13">
        <f>SUM(G118:L118)</f>
        <v>541020.6</v>
      </c>
      <c r="G118" s="21">
        <f t="shared" ref="G118:I121" si="63">G18+G48+G78+G88+G93+G98+G103</f>
        <v>73742.3</v>
      </c>
      <c r="H118" s="21">
        <f t="shared" si="63"/>
        <v>90188.5</v>
      </c>
      <c r="I118" s="21">
        <f t="shared" si="63"/>
        <v>119824.40000000001</v>
      </c>
      <c r="J118" s="21">
        <f>J18+J48+J78+J88+J93+J98+J103+J108</f>
        <v>114560.3</v>
      </c>
      <c r="K118" s="21">
        <f>K18+K48+K78+K88+K93+K98+K103+K108</f>
        <v>77368.400000000009</v>
      </c>
      <c r="L118" s="21">
        <f>L18+L48+L78+L88+L93+L98+L103+L108+L113</f>
        <v>65336.7</v>
      </c>
    </row>
    <row r="119" spans="2:14" s="1" customFormat="1" ht="15.75" x14ac:dyDescent="0.25">
      <c r="B119" s="129"/>
      <c r="C119" s="158"/>
      <c r="D119" s="132"/>
      <c r="E119" s="12" t="s">
        <v>3</v>
      </c>
      <c r="F119" s="13">
        <f>SUM(G119:L119)</f>
        <v>2239606.8000000003</v>
      </c>
      <c r="G119" s="21">
        <f t="shared" si="63"/>
        <v>301996.5</v>
      </c>
      <c r="H119" s="21">
        <f t="shared" si="63"/>
        <v>358131</v>
      </c>
      <c r="I119" s="21">
        <f t="shared" si="63"/>
        <v>447803.1</v>
      </c>
      <c r="J119" s="21">
        <f>J19+J49+J79+J89+J94+J99+J104+J109</f>
        <v>405423.1</v>
      </c>
      <c r="K119" s="21">
        <f>K19+K49+K79+K89+K94+K99+K104+K109</f>
        <v>382963.7</v>
      </c>
      <c r="L119" s="21">
        <f>L19+L49+L79+L89+L94+L99+L104+L109+L114</f>
        <v>343289.4</v>
      </c>
    </row>
    <row r="120" spans="2:14" s="1" customFormat="1" ht="15.75" x14ac:dyDescent="0.25">
      <c r="B120" s="129"/>
      <c r="C120" s="158"/>
      <c r="D120" s="132"/>
      <c r="E120" s="12" t="s">
        <v>4</v>
      </c>
      <c r="F120" s="13">
        <f t="shared" ref="F120" si="64">SUM(G120:L120)</f>
        <v>0</v>
      </c>
      <c r="G120" s="21">
        <f t="shared" si="63"/>
        <v>0</v>
      </c>
      <c r="H120" s="21">
        <f t="shared" si="63"/>
        <v>0</v>
      </c>
      <c r="I120" s="21">
        <f t="shared" si="63"/>
        <v>0</v>
      </c>
      <c r="J120" s="21">
        <f t="shared" ref="J120:L121" si="65">J20+J50+J80+J90+J95+J100+J105</f>
        <v>0</v>
      </c>
      <c r="K120" s="21">
        <f t="shared" si="65"/>
        <v>0</v>
      </c>
      <c r="L120" s="21">
        <f t="shared" si="65"/>
        <v>0</v>
      </c>
    </row>
    <row r="121" spans="2:14" s="1" customFormat="1" ht="15.75" x14ac:dyDescent="0.25">
      <c r="B121" s="129"/>
      <c r="C121" s="134"/>
      <c r="D121" s="132"/>
      <c r="E121" s="12" t="s">
        <v>6</v>
      </c>
      <c r="F121" s="13">
        <f>SUM(G121:L121)</f>
        <v>15365.100000000002</v>
      </c>
      <c r="G121" s="21">
        <f t="shared" si="63"/>
        <v>1838.8</v>
      </c>
      <c r="H121" s="21">
        <f t="shared" si="63"/>
        <v>1033.5</v>
      </c>
      <c r="I121" s="21">
        <f t="shared" si="63"/>
        <v>5475.6</v>
      </c>
      <c r="J121" s="21">
        <f t="shared" si="65"/>
        <v>7017.2</v>
      </c>
      <c r="K121" s="21">
        <f t="shared" si="65"/>
        <v>0</v>
      </c>
      <c r="L121" s="21">
        <f t="shared" si="65"/>
        <v>0</v>
      </c>
    </row>
    <row r="122" spans="2:14" s="1" customFormat="1" ht="12.75" customHeight="1" x14ac:dyDescent="0.25">
      <c r="B122" s="157"/>
      <c r="C122" s="156"/>
      <c r="D122" s="14"/>
      <c r="E122" s="22"/>
      <c r="F122" s="14"/>
      <c r="G122" s="14"/>
      <c r="H122" s="14"/>
      <c r="I122" s="14"/>
      <c r="J122" s="14"/>
      <c r="K122" s="14"/>
      <c r="M122" s="1" t="s">
        <v>122</v>
      </c>
    </row>
    <row r="123" spans="2:14" ht="15.75" x14ac:dyDescent="0.25">
      <c r="B123" s="157"/>
      <c r="C123" s="156"/>
      <c r="D123" s="14"/>
      <c r="E123" s="23"/>
      <c r="F123" s="14"/>
      <c r="G123" s="14"/>
      <c r="H123" s="14"/>
      <c r="I123" s="14"/>
      <c r="J123" s="14"/>
      <c r="K123" s="14"/>
    </row>
    <row r="124" spans="2:14" ht="15.75" x14ac:dyDescent="0.25">
      <c r="B124" s="157"/>
      <c r="C124" s="156"/>
      <c r="D124" s="14"/>
      <c r="E124" s="23"/>
      <c r="F124" s="14"/>
      <c r="G124" s="14"/>
      <c r="H124" s="24"/>
      <c r="I124" s="24"/>
      <c r="J124" s="24"/>
      <c r="K124" s="14"/>
    </row>
    <row r="125" spans="2:14" ht="15.75" x14ac:dyDescent="0.25">
      <c r="B125" s="157"/>
      <c r="C125" s="156"/>
      <c r="D125" s="14"/>
      <c r="E125" s="23"/>
      <c r="F125" s="22"/>
      <c r="G125" s="22"/>
      <c r="H125" s="22"/>
      <c r="I125" s="25"/>
      <c r="J125" s="25"/>
      <c r="K125" s="22"/>
    </row>
    <row r="126" spans="2:14" ht="15.75" x14ac:dyDescent="0.25">
      <c r="B126" s="157"/>
      <c r="C126" s="156"/>
      <c r="D126" s="14"/>
      <c r="E126" s="23"/>
      <c r="I126" s="26"/>
    </row>
    <row r="127" spans="2:14" ht="15.75" x14ac:dyDescent="0.25">
      <c r="B127" s="153"/>
      <c r="C127" s="153"/>
      <c r="D127" s="153"/>
      <c r="E127" s="22"/>
    </row>
    <row r="128" spans="2:14" ht="15.75" x14ac:dyDescent="0.25">
      <c r="B128" s="153"/>
      <c r="C128" s="153"/>
      <c r="D128" s="153"/>
      <c r="E128" s="22"/>
    </row>
    <row r="129" spans="2:5" ht="15.75" x14ac:dyDescent="0.25">
      <c r="B129" s="153"/>
      <c r="C129" s="153"/>
      <c r="D129" s="153"/>
      <c r="E129" s="22"/>
    </row>
    <row r="130" spans="2:5" ht="15.75" x14ac:dyDescent="0.25">
      <c r="B130" s="153"/>
      <c r="C130" s="153"/>
      <c r="D130" s="153"/>
      <c r="E130" s="22"/>
    </row>
    <row r="131" spans="2:5" ht="15.75" x14ac:dyDescent="0.25">
      <c r="B131" s="153"/>
      <c r="C131" s="153"/>
      <c r="D131" s="153"/>
      <c r="E131" s="22"/>
    </row>
  </sheetData>
  <mergeCells count="79">
    <mergeCell ref="B52:B56"/>
    <mergeCell ref="B62:B66"/>
    <mergeCell ref="B112:B116"/>
    <mergeCell ref="C112:C116"/>
    <mergeCell ref="D112:D116"/>
    <mergeCell ref="D107:D111"/>
    <mergeCell ref="C107:C111"/>
    <mergeCell ref="B107:B111"/>
    <mergeCell ref="C52:C56"/>
    <mergeCell ref="C57:C61"/>
    <mergeCell ref="C62:C66"/>
    <mergeCell ref="D62:D66"/>
    <mergeCell ref="D57:D61"/>
    <mergeCell ref="B97:B101"/>
    <mergeCell ref="C97:C101"/>
    <mergeCell ref="D97:D101"/>
    <mergeCell ref="B10:L10"/>
    <mergeCell ref="B11:L11"/>
    <mergeCell ref="B87:B91"/>
    <mergeCell ref="C87:C91"/>
    <mergeCell ref="D87:D91"/>
    <mergeCell ref="C77:C81"/>
    <mergeCell ref="D77:D81"/>
    <mergeCell ref="B82:B86"/>
    <mergeCell ref="C82:C86"/>
    <mergeCell ref="B77:B81"/>
    <mergeCell ref="D82:D86"/>
    <mergeCell ref="D52:D56"/>
    <mergeCell ref="B27:B31"/>
    <mergeCell ref="B37:B41"/>
    <mergeCell ref="C37:C41"/>
    <mergeCell ref="D37:D41"/>
    <mergeCell ref="B131:D131"/>
    <mergeCell ref="B117:B121"/>
    <mergeCell ref="B129:D129"/>
    <mergeCell ref="B102:B106"/>
    <mergeCell ref="C102:C106"/>
    <mergeCell ref="D102:D106"/>
    <mergeCell ref="C117:C121"/>
    <mergeCell ref="B67:B71"/>
    <mergeCell ref="C67:C71"/>
    <mergeCell ref="D67:D71"/>
    <mergeCell ref="B57:B61"/>
    <mergeCell ref="B130:D130"/>
    <mergeCell ref="B128:D128"/>
    <mergeCell ref="B92:B96"/>
    <mergeCell ref="C92:C96"/>
    <mergeCell ref="D92:D96"/>
    <mergeCell ref="C72:C76"/>
    <mergeCell ref="D72:D76"/>
    <mergeCell ref="B72:B76"/>
    <mergeCell ref="C122:C126"/>
    <mergeCell ref="B122:B126"/>
    <mergeCell ref="D117:D121"/>
    <mergeCell ref="B127:D127"/>
    <mergeCell ref="C22:C26"/>
    <mergeCell ref="D22:D26"/>
    <mergeCell ref="B47:B51"/>
    <mergeCell ref="B42:B46"/>
    <mergeCell ref="C42:C46"/>
    <mergeCell ref="D42:D46"/>
    <mergeCell ref="C47:C51"/>
    <mergeCell ref="D47:D51"/>
    <mergeCell ref="G13:L13"/>
    <mergeCell ref="B32:B36"/>
    <mergeCell ref="C32:C36"/>
    <mergeCell ref="D32:D36"/>
    <mergeCell ref="B13:B14"/>
    <mergeCell ref="C13:C14"/>
    <mergeCell ref="D13:D14"/>
    <mergeCell ref="E13:E14"/>
    <mergeCell ref="F13:F14"/>
    <mergeCell ref="C16:L16"/>
    <mergeCell ref="C27:C31"/>
    <mergeCell ref="D27:D31"/>
    <mergeCell ref="B17:B21"/>
    <mergeCell ref="C17:C21"/>
    <mergeCell ref="D17:D21"/>
    <mergeCell ref="B22:B26"/>
  </mergeCells>
  <phoneticPr fontId="2" type="noConversion"/>
  <pageMargins left="1.3779527559055118" right="0.39370078740157483" top="0.78740157480314965" bottom="0.39370078740157483" header="0.19685039370078741" footer="0.15748031496062992"/>
  <pageSetup paperSize="9" scale="50" fitToHeight="2" orientation="portrait" r:id="rId1"/>
  <headerFooter alignWithMargins="0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210"/>
  <sheetViews>
    <sheetView view="pageBreakPreview" zoomScaleSheetLayoutView="100" workbookViewId="0">
      <pane xSplit="1" ySplit="15" topLeftCell="B16" activePane="bottomRight" state="frozen"/>
      <selection activeCell="J55" sqref="J55"/>
      <selection pane="topRight" activeCell="J55" sqref="J55"/>
      <selection pane="bottomLeft" activeCell="J55" sqref="J55"/>
      <selection pane="bottomRight" activeCell="N17" sqref="N17"/>
    </sheetView>
  </sheetViews>
  <sheetFormatPr defaultRowHeight="12.75" outlineLevelRow="1" x14ac:dyDescent="0.2"/>
  <cols>
    <col min="1" max="1" width="2.42578125" style="2" customWidth="1"/>
    <col min="2" max="2" width="5.42578125" style="2" customWidth="1"/>
    <col min="3" max="3" width="42.42578125" style="2" customWidth="1"/>
    <col min="4" max="4" width="19.28515625" style="2" customWidth="1"/>
    <col min="5" max="5" width="20.42578125" style="2" customWidth="1"/>
    <col min="6" max="6" width="12.28515625" style="27" customWidth="1"/>
    <col min="7" max="7" width="10.5703125" style="47" customWidth="1"/>
    <col min="8" max="8" width="10.5703125" style="2" customWidth="1"/>
    <col min="9" max="9" width="13.42578125" style="2" customWidth="1"/>
    <col min="10" max="10" width="11.5703125" style="2" customWidth="1"/>
    <col min="11" max="12" width="10.5703125" style="2" customWidth="1"/>
    <col min="13" max="13" width="2.5703125" style="2" customWidth="1"/>
    <col min="14" max="16384" width="9.140625" style="2"/>
  </cols>
  <sheetData>
    <row r="1" spans="1:14" ht="15.75" x14ac:dyDescent="0.25">
      <c r="F1" s="2"/>
      <c r="G1" s="1" t="s">
        <v>119</v>
      </c>
    </row>
    <row r="2" spans="1:14" ht="15.75" x14ac:dyDescent="0.25">
      <c r="F2" s="2"/>
      <c r="G2" s="1" t="s">
        <v>120</v>
      </c>
    </row>
    <row r="3" spans="1:14" ht="15.75" x14ac:dyDescent="0.25">
      <c r="F3" s="2"/>
      <c r="G3" s="1" t="str">
        <f>+Свод!G3</f>
        <v>№ 587 от 12.08.2022 г.</v>
      </c>
    </row>
    <row r="4" spans="1:14" x14ac:dyDescent="0.2">
      <c r="F4" s="2"/>
      <c r="G4" s="2"/>
    </row>
    <row r="5" spans="1:14" s="1" customFormat="1" ht="14.25" customHeight="1" x14ac:dyDescent="0.25">
      <c r="G5" s="1" t="s">
        <v>119</v>
      </c>
    </row>
    <row r="6" spans="1:14" s="1" customFormat="1" ht="14.25" customHeight="1" x14ac:dyDescent="0.25">
      <c r="G6" s="1" t="s">
        <v>128</v>
      </c>
      <c r="N6" s="109"/>
    </row>
    <row r="7" spans="1:14" s="1" customFormat="1" ht="14.25" customHeight="1" x14ac:dyDescent="0.25">
      <c r="G7" s="1" t="s">
        <v>42</v>
      </c>
      <c r="N7" s="109"/>
    </row>
    <row r="8" spans="1:14" s="1" customFormat="1" ht="14.25" customHeight="1" x14ac:dyDescent="0.25">
      <c r="G8" s="1" t="s">
        <v>129</v>
      </c>
    </row>
    <row r="9" spans="1:14" s="1" customFormat="1" ht="7.5" customHeight="1" x14ac:dyDescent="0.25">
      <c r="F9" s="10"/>
      <c r="G9" s="28"/>
      <c r="N9" s="109"/>
    </row>
    <row r="10" spans="1:14" s="1" customFormat="1" ht="21.75" customHeight="1" x14ac:dyDescent="0.25">
      <c r="B10" s="159" t="s">
        <v>130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4" s="1" customFormat="1" ht="19.5" customHeight="1" x14ac:dyDescent="0.25">
      <c r="B11" s="160" t="s">
        <v>131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4" s="1" customFormat="1" ht="13.5" customHeight="1" x14ac:dyDescent="0.25">
      <c r="A12" s="1" t="s">
        <v>121</v>
      </c>
      <c r="F12" s="10"/>
      <c r="G12" s="28"/>
    </row>
    <row r="13" spans="1:14" s="1" customFormat="1" ht="15.75" x14ac:dyDescent="0.25">
      <c r="B13" s="133" t="s">
        <v>30</v>
      </c>
      <c r="C13" s="132" t="s">
        <v>31</v>
      </c>
      <c r="D13" s="132" t="s">
        <v>32</v>
      </c>
      <c r="E13" s="132" t="s">
        <v>33</v>
      </c>
      <c r="F13" s="132" t="s">
        <v>34</v>
      </c>
      <c r="G13" s="180" t="s">
        <v>35</v>
      </c>
      <c r="H13" s="181"/>
      <c r="I13" s="181"/>
      <c r="J13" s="181"/>
      <c r="K13" s="181"/>
      <c r="L13" s="182"/>
    </row>
    <row r="14" spans="1:14" s="1" customFormat="1" ht="72.75" customHeight="1" x14ac:dyDescent="0.25">
      <c r="B14" s="134"/>
      <c r="C14" s="132"/>
      <c r="D14" s="132"/>
      <c r="E14" s="132"/>
      <c r="F14" s="132"/>
      <c r="G14" s="103" t="s">
        <v>38</v>
      </c>
      <c r="H14" s="103" t="s">
        <v>43</v>
      </c>
      <c r="I14" s="103" t="s">
        <v>39</v>
      </c>
      <c r="J14" s="103" t="s">
        <v>150</v>
      </c>
      <c r="K14" s="103" t="s">
        <v>152</v>
      </c>
      <c r="L14" s="103" t="s">
        <v>151</v>
      </c>
    </row>
    <row r="15" spans="1:14" s="102" customFormat="1" ht="13.5" customHeight="1" x14ac:dyDescent="0.25">
      <c r="B15" s="11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</row>
    <row r="16" spans="1:14" s="1" customFormat="1" ht="33" customHeight="1" x14ac:dyDescent="0.25">
      <c r="B16" s="183" t="s">
        <v>44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5"/>
    </row>
    <row r="17" spans="2:14" s="1" customFormat="1" ht="15.75" x14ac:dyDescent="0.25">
      <c r="B17" s="150" t="s">
        <v>0</v>
      </c>
      <c r="C17" s="169" t="s">
        <v>165</v>
      </c>
      <c r="D17" s="158" t="s">
        <v>45</v>
      </c>
      <c r="E17" s="108" t="s">
        <v>2</v>
      </c>
      <c r="F17" s="30">
        <f>SUM(F18:F21)</f>
        <v>887037.4</v>
      </c>
      <c r="G17" s="30">
        <f t="shared" ref="G17:H17" si="0">SUM(G18:G21)</f>
        <v>142029.80000000002</v>
      </c>
      <c r="H17" s="30">
        <f t="shared" si="0"/>
        <v>173469.50000000003</v>
      </c>
      <c r="I17" s="30">
        <f>SUM(I18:I21)</f>
        <v>214109.60000000003</v>
      </c>
      <c r="J17" s="30">
        <f t="shared" ref="J17:L17" si="1">SUM(J18:J21)</f>
        <v>219025.4</v>
      </c>
      <c r="K17" s="30">
        <f t="shared" si="1"/>
        <v>60824.799999999996</v>
      </c>
      <c r="L17" s="30">
        <f t="shared" si="1"/>
        <v>77578.3</v>
      </c>
      <c r="N17" s="59"/>
    </row>
    <row r="18" spans="2:14" s="1" customFormat="1" ht="15.75" x14ac:dyDescent="0.25">
      <c r="B18" s="151"/>
      <c r="C18" s="169"/>
      <c r="D18" s="158"/>
      <c r="E18" s="15" t="s">
        <v>5</v>
      </c>
      <c r="F18" s="13">
        <f t="shared" ref="F18" si="2">SUM(G18:L18)</f>
        <v>834439.20000000007</v>
      </c>
      <c r="G18" s="16">
        <f t="shared" ref="G18:J21" si="3">G23+G38+G43+G48+G53</f>
        <v>134105.60000000001</v>
      </c>
      <c r="H18" s="16">
        <f t="shared" si="3"/>
        <v>163322.90000000002</v>
      </c>
      <c r="I18" s="16">
        <f t="shared" si="3"/>
        <v>202453.00000000003</v>
      </c>
      <c r="J18" s="16">
        <f t="shared" si="3"/>
        <v>197760.6</v>
      </c>
      <c r="K18" s="16">
        <f t="shared" ref="K18:L18" si="4">K23+K38+K43+K48+K53</f>
        <v>59843.799999999996</v>
      </c>
      <c r="L18" s="16">
        <f t="shared" si="4"/>
        <v>76953.3</v>
      </c>
    </row>
    <row r="19" spans="2:14" s="1" customFormat="1" ht="15.75" x14ac:dyDescent="0.25">
      <c r="B19" s="151"/>
      <c r="C19" s="146"/>
      <c r="D19" s="158"/>
      <c r="E19" s="15" t="s">
        <v>3</v>
      </c>
      <c r="F19" s="13">
        <f>SUM(G19:L19)</f>
        <v>31754.2</v>
      </c>
      <c r="G19" s="16">
        <f t="shared" si="3"/>
        <v>5687.6</v>
      </c>
      <c r="H19" s="16">
        <f t="shared" si="3"/>
        <v>5032.8999999999996</v>
      </c>
      <c r="I19" s="16">
        <f t="shared" si="3"/>
        <v>6512.9</v>
      </c>
      <c r="J19" s="16">
        <f t="shared" si="3"/>
        <v>12914.8</v>
      </c>
      <c r="K19" s="16">
        <f t="shared" ref="K19:L19" si="5">K24+K39+K44+K49+K54</f>
        <v>981</v>
      </c>
      <c r="L19" s="16">
        <f t="shared" si="5"/>
        <v>625</v>
      </c>
    </row>
    <row r="20" spans="2:14" s="1" customFormat="1" ht="15.75" x14ac:dyDescent="0.25">
      <c r="B20" s="151"/>
      <c r="C20" s="146"/>
      <c r="D20" s="158"/>
      <c r="E20" s="15" t="s">
        <v>4</v>
      </c>
      <c r="F20" s="13">
        <f t="shared" ref="F20:F21" si="6">SUM(G20:L20)</f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6">
        <f t="shared" ref="K20:L20" si="7">K25+K40+K45+K50+K55</f>
        <v>0</v>
      </c>
      <c r="L20" s="16">
        <f t="shared" si="7"/>
        <v>0</v>
      </c>
    </row>
    <row r="21" spans="2:14" s="1" customFormat="1" ht="15.75" x14ac:dyDescent="0.25">
      <c r="B21" s="152"/>
      <c r="C21" s="147"/>
      <c r="D21" s="134"/>
      <c r="E21" s="15" t="s">
        <v>6</v>
      </c>
      <c r="F21" s="13">
        <f t="shared" si="6"/>
        <v>20844</v>
      </c>
      <c r="G21" s="16">
        <f t="shared" si="3"/>
        <v>2236.6</v>
      </c>
      <c r="H21" s="16">
        <f t="shared" si="3"/>
        <v>5113.7</v>
      </c>
      <c r="I21" s="16">
        <f t="shared" si="3"/>
        <v>5143.7</v>
      </c>
      <c r="J21" s="16">
        <f t="shared" si="3"/>
        <v>8350</v>
      </c>
      <c r="K21" s="16">
        <f t="shared" ref="K21:L21" si="8">K26+K41+K46+K51+K56</f>
        <v>0</v>
      </c>
      <c r="L21" s="16">
        <f t="shared" si="8"/>
        <v>0</v>
      </c>
    </row>
    <row r="22" spans="2:14" s="1" customFormat="1" ht="15.75" x14ac:dyDescent="0.25">
      <c r="B22" s="177" t="s">
        <v>47</v>
      </c>
      <c r="C22" s="131" t="s">
        <v>48</v>
      </c>
      <c r="D22" s="158" t="s">
        <v>45</v>
      </c>
      <c r="E22" s="108" t="s">
        <v>2</v>
      </c>
      <c r="F22" s="30">
        <f>SUM(F23:F26)</f>
        <v>857779.20000000019</v>
      </c>
      <c r="G22" s="30">
        <f>SUM(G23:G26)</f>
        <v>136138.5</v>
      </c>
      <c r="H22" s="30">
        <f>SUM(H23:H26)</f>
        <v>169033.2</v>
      </c>
      <c r="I22" s="30">
        <f>SUM(I23:I26)</f>
        <v>208036.00000000003</v>
      </c>
      <c r="J22" s="30">
        <f t="shared" ref="J22:L22" si="9">SUM(J23:J26)</f>
        <v>206168.4</v>
      </c>
      <c r="K22" s="30">
        <f t="shared" si="9"/>
        <v>60824.799999999996</v>
      </c>
      <c r="L22" s="30">
        <f t="shared" si="9"/>
        <v>77578.3</v>
      </c>
    </row>
    <row r="23" spans="2:14" s="1" customFormat="1" ht="15.75" x14ac:dyDescent="0.25">
      <c r="B23" s="177"/>
      <c r="C23" s="131"/>
      <c r="D23" s="158"/>
      <c r="E23" s="15" t="s">
        <v>5</v>
      </c>
      <c r="F23" s="13">
        <f t="shared" ref="F23" si="10">SUM(G23:L23)</f>
        <v>831805.30000000016</v>
      </c>
      <c r="G23" s="16">
        <f t="shared" ref="G23:L26" si="11">G28+G33</f>
        <v>133575.4</v>
      </c>
      <c r="H23" s="16">
        <f t="shared" si="11"/>
        <v>162923.1</v>
      </c>
      <c r="I23" s="16">
        <f t="shared" si="11"/>
        <v>201906.30000000002</v>
      </c>
      <c r="J23" s="16">
        <f>J28+J33</f>
        <v>196603.4</v>
      </c>
      <c r="K23" s="16">
        <f t="shared" si="11"/>
        <v>59843.799999999996</v>
      </c>
      <c r="L23" s="16">
        <f t="shared" si="11"/>
        <v>76953.3</v>
      </c>
    </row>
    <row r="24" spans="2:14" s="1" customFormat="1" ht="15.75" x14ac:dyDescent="0.25">
      <c r="B24" s="177"/>
      <c r="C24" s="131"/>
      <c r="D24" s="158"/>
      <c r="E24" s="15" t="s">
        <v>3</v>
      </c>
      <c r="F24" s="13">
        <f>SUM(G24:L24)</f>
        <v>5129.8999999999996</v>
      </c>
      <c r="G24" s="16">
        <f t="shared" si="11"/>
        <v>326.5</v>
      </c>
      <c r="H24" s="16">
        <f t="shared" si="11"/>
        <v>996.4</v>
      </c>
      <c r="I24" s="16">
        <f t="shared" si="11"/>
        <v>986</v>
      </c>
      <c r="J24" s="16">
        <f t="shared" si="11"/>
        <v>1215</v>
      </c>
      <c r="K24" s="16">
        <f t="shared" si="11"/>
        <v>981</v>
      </c>
      <c r="L24" s="16">
        <f t="shared" si="11"/>
        <v>625</v>
      </c>
    </row>
    <row r="25" spans="2:14" s="1" customFormat="1" ht="15.75" x14ac:dyDescent="0.25">
      <c r="B25" s="177"/>
      <c r="C25" s="131"/>
      <c r="D25" s="158"/>
      <c r="E25" s="15" t="s">
        <v>4</v>
      </c>
      <c r="F25" s="13">
        <f t="shared" ref="F25:F26" si="12">SUM(G25:L25)</f>
        <v>0</v>
      </c>
      <c r="G25" s="16">
        <f t="shared" si="11"/>
        <v>0</v>
      </c>
      <c r="H25" s="16">
        <f t="shared" si="11"/>
        <v>0</v>
      </c>
      <c r="I25" s="16">
        <f t="shared" si="11"/>
        <v>0</v>
      </c>
      <c r="J25" s="16">
        <f t="shared" si="11"/>
        <v>0</v>
      </c>
      <c r="K25" s="16">
        <f t="shared" si="11"/>
        <v>0</v>
      </c>
      <c r="L25" s="16">
        <f t="shared" si="11"/>
        <v>0</v>
      </c>
    </row>
    <row r="26" spans="2:14" s="1" customFormat="1" ht="15.75" x14ac:dyDescent="0.25">
      <c r="B26" s="177"/>
      <c r="C26" s="131"/>
      <c r="D26" s="134"/>
      <c r="E26" s="15" t="s">
        <v>6</v>
      </c>
      <c r="F26" s="13">
        <f t="shared" si="12"/>
        <v>20844</v>
      </c>
      <c r="G26" s="16">
        <f t="shared" si="11"/>
        <v>2236.6</v>
      </c>
      <c r="H26" s="16">
        <f t="shared" si="11"/>
        <v>5113.7</v>
      </c>
      <c r="I26" s="16">
        <f>I31+I36</f>
        <v>5143.7</v>
      </c>
      <c r="J26" s="16">
        <f>J31+J36</f>
        <v>8350</v>
      </c>
      <c r="K26" s="16">
        <f t="shared" si="11"/>
        <v>0</v>
      </c>
      <c r="L26" s="16">
        <f t="shared" si="11"/>
        <v>0</v>
      </c>
    </row>
    <row r="27" spans="2:14" s="1" customFormat="1" ht="34.5" customHeight="1" x14ac:dyDescent="0.25">
      <c r="B27" s="174" t="s">
        <v>18</v>
      </c>
      <c r="C27" s="145" t="s">
        <v>49</v>
      </c>
      <c r="D27" s="158" t="s">
        <v>45</v>
      </c>
      <c r="E27" s="108" t="s">
        <v>2</v>
      </c>
      <c r="F27" s="30">
        <f>SUM(F28:F31)</f>
        <v>824362.9</v>
      </c>
      <c r="G27" s="30">
        <f t="shared" ref="G27:L27" si="13">SUM(G28:G31)</f>
        <v>133015.79999999999</v>
      </c>
      <c r="H27" s="30">
        <f t="shared" si="13"/>
        <v>161843.20000000001</v>
      </c>
      <c r="I27" s="30">
        <f t="shared" si="13"/>
        <v>200618.40000000002</v>
      </c>
      <c r="J27" s="30">
        <f t="shared" si="13"/>
        <v>197806.4</v>
      </c>
      <c r="K27" s="30">
        <f t="shared" si="13"/>
        <v>56909.799999999996</v>
      </c>
      <c r="L27" s="30">
        <f t="shared" si="13"/>
        <v>74169.3</v>
      </c>
    </row>
    <row r="28" spans="2:14" s="1" customFormat="1" ht="34.5" customHeight="1" x14ac:dyDescent="0.25">
      <c r="B28" s="175"/>
      <c r="C28" s="146"/>
      <c r="D28" s="158"/>
      <c r="E28" s="15" t="s">
        <v>5</v>
      </c>
      <c r="F28" s="13">
        <f t="shared" ref="F28" si="14">SUM(G28:L28)</f>
        <v>803518.9</v>
      </c>
      <c r="G28" s="16">
        <f>133015.8-G31</f>
        <v>130779.19999999998</v>
      </c>
      <c r="H28" s="16">
        <f>156465.2+5378-H31</f>
        <v>156729.5</v>
      </c>
      <c r="I28" s="16">
        <f>195504.7-30</f>
        <v>195474.7</v>
      </c>
      <c r="J28" s="16">
        <f>201866.4-4060-J31</f>
        <v>189456.4</v>
      </c>
      <c r="K28" s="16">
        <f>57554.7-645+0.1</f>
        <v>56909.799999999996</v>
      </c>
      <c r="L28" s="16">
        <f>74664.3-495</f>
        <v>74169.3</v>
      </c>
    </row>
    <row r="29" spans="2:14" s="1" customFormat="1" ht="34.5" customHeight="1" x14ac:dyDescent="0.25">
      <c r="B29" s="175"/>
      <c r="C29" s="146"/>
      <c r="D29" s="158"/>
      <c r="E29" s="15" t="s">
        <v>3</v>
      </c>
      <c r="F29" s="13">
        <f>SUM(G29:L29)</f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2:14" s="1" customFormat="1" ht="34.5" customHeight="1" x14ac:dyDescent="0.25">
      <c r="B30" s="175"/>
      <c r="C30" s="146"/>
      <c r="D30" s="158"/>
      <c r="E30" s="15" t="s">
        <v>4</v>
      </c>
      <c r="F30" s="13">
        <f t="shared" ref="F30:F31" si="15">SUM(G30:L30)</f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4" s="1" customFormat="1" ht="34.5" customHeight="1" x14ac:dyDescent="0.25">
      <c r="B31" s="176"/>
      <c r="C31" s="147"/>
      <c r="D31" s="134"/>
      <c r="E31" s="15" t="s">
        <v>6</v>
      </c>
      <c r="F31" s="13">
        <f t="shared" si="15"/>
        <v>20844</v>
      </c>
      <c r="G31" s="16">
        <v>2236.6</v>
      </c>
      <c r="H31" s="16">
        <v>5113.7</v>
      </c>
      <c r="I31" s="16">
        <f>3613.7+1600-100+30</f>
        <v>5143.7</v>
      </c>
      <c r="J31" s="16">
        <v>8350</v>
      </c>
      <c r="K31" s="16">
        <v>0</v>
      </c>
      <c r="L31" s="16">
        <v>0</v>
      </c>
    </row>
    <row r="32" spans="2:14" s="1" customFormat="1" ht="18.75" customHeight="1" x14ac:dyDescent="0.25">
      <c r="B32" s="174" t="s">
        <v>50</v>
      </c>
      <c r="C32" s="131" t="s">
        <v>251</v>
      </c>
      <c r="D32" s="158" t="s">
        <v>45</v>
      </c>
      <c r="E32" s="108" t="s">
        <v>2</v>
      </c>
      <c r="F32" s="30">
        <f>SUM(F33:F36)</f>
        <v>33416.300000000003</v>
      </c>
      <c r="G32" s="30">
        <f t="shared" ref="G32:L32" si="16">SUM(G33:G36)</f>
        <v>3122.7</v>
      </c>
      <c r="H32" s="30">
        <f t="shared" si="16"/>
        <v>7190</v>
      </c>
      <c r="I32" s="30">
        <f t="shared" si="16"/>
        <v>7417.6</v>
      </c>
      <c r="J32" s="30">
        <f t="shared" si="16"/>
        <v>8362</v>
      </c>
      <c r="K32" s="30">
        <f t="shared" si="16"/>
        <v>3915</v>
      </c>
      <c r="L32" s="30">
        <f t="shared" si="16"/>
        <v>3409</v>
      </c>
    </row>
    <row r="33" spans="2:12" s="1" customFormat="1" ht="18.75" customHeight="1" x14ac:dyDescent="0.25">
      <c r="B33" s="175"/>
      <c r="C33" s="131"/>
      <c r="D33" s="158"/>
      <c r="E33" s="15" t="s">
        <v>5</v>
      </c>
      <c r="F33" s="13">
        <f t="shared" ref="F33" si="17">SUM(G33:L33)</f>
        <v>28286.400000000001</v>
      </c>
      <c r="G33" s="16">
        <v>2796.2</v>
      </c>
      <c r="H33" s="16">
        <f>3871+2322.6</f>
        <v>6193.6</v>
      </c>
      <c r="I33" s="16">
        <v>6431.6</v>
      </c>
      <c r="J33" s="16">
        <f>3087+4060</f>
        <v>7147</v>
      </c>
      <c r="K33" s="16">
        <f>2289+645</f>
        <v>2934</v>
      </c>
      <c r="L33" s="16">
        <f>2289+495</f>
        <v>2784</v>
      </c>
    </row>
    <row r="34" spans="2:12" s="1" customFormat="1" ht="18.75" customHeight="1" x14ac:dyDescent="0.25">
      <c r="B34" s="175"/>
      <c r="C34" s="131"/>
      <c r="D34" s="158"/>
      <c r="E34" s="15" t="s">
        <v>46</v>
      </c>
      <c r="F34" s="13">
        <f>SUM(G34:L34)</f>
        <v>5129.8999999999996</v>
      </c>
      <c r="G34" s="16">
        <v>326.5</v>
      </c>
      <c r="H34" s="16">
        <v>996.4</v>
      </c>
      <c r="I34" s="16">
        <v>986</v>
      </c>
      <c r="J34" s="16">
        <v>1215</v>
      </c>
      <c r="K34" s="16">
        <v>981</v>
      </c>
      <c r="L34" s="16">
        <v>625</v>
      </c>
    </row>
    <row r="35" spans="2:12" s="1" customFormat="1" ht="18.75" customHeight="1" x14ac:dyDescent="0.25">
      <c r="B35" s="175"/>
      <c r="C35" s="131"/>
      <c r="D35" s="158"/>
      <c r="E35" s="15" t="s">
        <v>4</v>
      </c>
      <c r="F35" s="13">
        <f t="shared" ref="F35:F36" si="18">SUM(G35:L35)</f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</row>
    <row r="36" spans="2:12" s="1" customFormat="1" ht="18.75" customHeight="1" x14ac:dyDescent="0.25">
      <c r="B36" s="176"/>
      <c r="C36" s="131"/>
      <c r="D36" s="134"/>
      <c r="E36" s="15" t="s">
        <v>6</v>
      </c>
      <c r="F36" s="13">
        <f t="shared" si="18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</row>
    <row r="37" spans="2:12" s="1" customFormat="1" ht="15.75" x14ac:dyDescent="0.25">
      <c r="B37" s="174" t="s">
        <v>19</v>
      </c>
      <c r="C37" s="131" t="s">
        <v>41</v>
      </c>
      <c r="D37" s="158" t="s">
        <v>45</v>
      </c>
      <c r="E37" s="108" t="s">
        <v>2</v>
      </c>
      <c r="F37" s="30">
        <f>SUM(F38:F41)</f>
        <v>10599.6</v>
      </c>
      <c r="G37" s="30">
        <f t="shared" ref="G37:L37" si="19">SUM(G38:G41)</f>
        <v>3391.6</v>
      </c>
      <c r="H37" s="30">
        <f t="shared" si="19"/>
        <v>1713.5</v>
      </c>
      <c r="I37" s="30">
        <f t="shared" si="19"/>
        <v>0</v>
      </c>
      <c r="J37" s="30">
        <f t="shared" si="19"/>
        <v>5494.5</v>
      </c>
      <c r="K37" s="30">
        <f t="shared" si="19"/>
        <v>0</v>
      </c>
      <c r="L37" s="30">
        <f t="shared" si="19"/>
        <v>0</v>
      </c>
    </row>
    <row r="38" spans="2:12" s="1" customFormat="1" ht="15.75" x14ac:dyDescent="0.25">
      <c r="B38" s="175"/>
      <c r="C38" s="131"/>
      <c r="D38" s="158"/>
      <c r="E38" s="15" t="s">
        <v>5</v>
      </c>
      <c r="F38" s="13">
        <f t="shared" ref="F38" si="20">SUM(G38:L38)</f>
        <v>953.9</v>
      </c>
      <c r="G38" s="16">
        <v>305.2</v>
      </c>
      <c r="H38" s="16">
        <v>154.19999999999999</v>
      </c>
      <c r="I38" s="16">
        <v>0</v>
      </c>
      <c r="J38" s="16">
        <v>494.5</v>
      </c>
      <c r="K38" s="16">
        <v>0</v>
      </c>
      <c r="L38" s="16">
        <v>0</v>
      </c>
    </row>
    <row r="39" spans="2:12" s="1" customFormat="1" ht="15.75" x14ac:dyDescent="0.25">
      <c r="B39" s="175"/>
      <c r="C39" s="131"/>
      <c r="D39" s="158"/>
      <c r="E39" s="15" t="s">
        <v>3</v>
      </c>
      <c r="F39" s="13">
        <f>SUM(G39:L39)</f>
        <v>9645.7000000000007</v>
      </c>
      <c r="G39" s="16">
        <v>3086.4</v>
      </c>
      <c r="H39" s="16">
        <v>1559.3</v>
      </c>
      <c r="I39" s="16">
        <v>0</v>
      </c>
      <c r="J39" s="16">
        <v>5000</v>
      </c>
      <c r="K39" s="16">
        <v>0</v>
      </c>
      <c r="L39" s="16">
        <v>0</v>
      </c>
    </row>
    <row r="40" spans="2:12" s="1" customFormat="1" ht="15.75" x14ac:dyDescent="0.25">
      <c r="B40" s="175"/>
      <c r="C40" s="131"/>
      <c r="D40" s="158"/>
      <c r="E40" s="15" t="s">
        <v>4</v>
      </c>
      <c r="F40" s="13">
        <f t="shared" ref="F40:F41" si="21">SUM(G40:L40)</f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</row>
    <row r="41" spans="2:12" s="1" customFormat="1" ht="15.75" x14ac:dyDescent="0.25">
      <c r="B41" s="176"/>
      <c r="C41" s="131"/>
      <c r="D41" s="134"/>
      <c r="E41" s="15" t="s">
        <v>6</v>
      </c>
      <c r="F41" s="13">
        <f t="shared" si="21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</row>
    <row r="42" spans="2:12" s="1" customFormat="1" ht="24.75" customHeight="1" x14ac:dyDescent="0.25">
      <c r="B42" s="174" t="s">
        <v>24</v>
      </c>
      <c r="C42" s="131" t="s">
        <v>117</v>
      </c>
      <c r="D42" s="158" t="s">
        <v>45</v>
      </c>
      <c r="E42" s="108" t="s">
        <v>2</v>
      </c>
      <c r="F42" s="30">
        <f>SUM(F43:F46)</f>
        <v>8996.0999999999985</v>
      </c>
      <c r="G42" s="30">
        <f t="shared" ref="G42:L42" si="22">SUM(G43:G46)</f>
        <v>2499.6999999999998</v>
      </c>
      <c r="H42" s="30">
        <f t="shared" si="22"/>
        <v>2722.7999999999997</v>
      </c>
      <c r="I42" s="30">
        <f t="shared" si="22"/>
        <v>3773.6</v>
      </c>
      <c r="J42" s="30">
        <f t="shared" si="22"/>
        <v>0</v>
      </c>
      <c r="K42" s="30">
        <f t="shared" si="22"/>
        <v>0</v>
      </c>
      <c r="L42" s="30">
        <f t="shared" si="22"/>
        <v>0</v>
      </c>
    </row>
    <row r="43" spans="2:12" s="1" customFormat="1" ht="24.75" customHeight="1" x14ac:dyDescent="0.25">
      <c r="B43" s="175"/>
      <c r="C43" s="131"/>
      <c r="D43" s="158"/>
      <c r="E43" s="15" t="s">
        <v>5</v>
      </c>
      <c r="F43" s="13">
        <f t="shared" ref="F43" si="23">SUM(G43:L43)</f>
        <v>810.3</v>
      </c>
      <c r="G43" s="16">
        <v>225</v>
      </c>
      <c r="H43" s="16">
        <v>245.6</v>
      </c>
      <c r="I43" s="16">
        <v>339.7</v>
      </c>
      <c r="J43" s="16">
        <v>0</v>
      </c>
      <c r="K43" s="16">
        <v>0</v>
      </c>
      <c r="L43" s="16">
        <v>0</v>
      </c>
    </row>
    <row r="44" spans="2:12" s="1" customFormat="1" ht="24.75" customHeight="1" x14ac:dyDescent="0.25">
      <c r="B44" s="175"/>
      <c r="C44" s="131"/>
      <c r="D44" s="158"/>
      <c r="E44" s="15" t="s">
        <v>3</v>
      </c>
      <c r="F44" s="13">
        <f>SUM(G44:L44)</f>
        <v>8185.7999999999993</v>
      </c>
      <c r="G44" s="16">
        <v>2274.6999999999998</v>
      </c>
      <c r="H44" s="16">
        <v>2477.1999999999998</v>
      </c>
      <c r="I44" s="16">
        <v>3433.9</v>
      </c>
      <c r="J44" s="16">
        <v>0</v>
      </c>
      <c r="K44" s="16">
        <v>0</v>
      </c>
      <c r="L44" s="16">
        <v>0</v>
      </c>
    </row>
    <row r="45" spans="2:12" s="1" customFormat="1" ht="24.75" customHeight="1" x14ac:dyDescent="0.25">
      <c r="B45" s="175"/>
      <c r="C45" s="131"/>
      <c r="D45" s="158"/>
      <c r="E45" s="15" t="s">
        <v>4</v>
      </c>
      <c r="F45" s="13">
        <f t="shared" ref="F45:F58" si="24">SUM(G45:L45)</f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</row>
    <row r="46" spans="2:12" s="1" customFormat="1" ht="24.75" customHeight="1" x14ac:dyDescent="0.25">
      <c r="B46" s="176"/>
      <c r="C46" s="131"/>
      <c r="D46" s="134"/>
      <c r="E46" s="15" t="s">
        <v>6</v>
      </c>
      <c r="F46" s="13">
        <f t="shared" si="24"/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s="1" customFormat="1" ht="18.75" customHeight="1" x14ac:dyDescent="0.25">
      <c r="B47" s="174" t="s">
        <v>217</v>
      </c>
      <c r="C47" s="131" t="s">
        <v>218</v>
      </c>
      <c r="D47" s="158" t="s">
        <v>45</v>
      </c>
      <c r="E47" s="108" t="s">
        <v>2</v>
      </c>
      <c r="F47" s="30">
        <f>SUM(F48:F51)</f>
        <v>4800</v>
      </c>
      <c r="G47" s="30">
        <f t="shared" ref="G47:L47" si="25">SUM(G48:G51)</f>
        <v>0</v>
      </c>
      <c r="H47" s="30">
        <f t="shared" si="25"/>
        <v>0</v>
      </c>
      <c r="I47" s="30">
        <f t="shared" si="25"/>
        <v>2300</v>
      </c>
      <c r="J47" s="30">
        <f t="shared" si="25"/>
        <v>2500</v>
      </c>
      <c r="K47" s="30">
        <f t="shared" si="25"/>
        <v>0</v>
      </c>
      <c r="L47" s="30">
        <f t="shared" si="25"/>
        <v>0</v>
      </c>
    </row>
    <row r="48" spans="2:12" s="1" customFormat="1" ht="18.75" customHeight="1" x14ac:dyDescent="0.25">
      <c r="B48" s="175"/>
      <c r="C48" s="131"/>
      <c r="D48" s="158"/>
      <c r="E48" s="15" t="s">
        <v>5</v>
      </c>
      <c r="F48" s="13">
        <f t="shared" ref="F48" si="26">SUM(G48:L48)</f>
        <v>432</v>
      </c>
      <c r="G48" s="16">
        <v>0</v>
      </c>
      <c r="H48" s="16">
        <v>0</v>
      </c>
      <c r="I48" s="16">
        <v>207</v>
      </c>
      <c r="J48" s="16">
        <v>225</v>
      </c>
      <c r="K48" s="16">
        <v>0</v>
      </c>
      <c r="L48" s="16">
        <v>0</v>
      </c>
    </row>
    <row r="49" spans="2:12" s="1" customFormat="1" ht="18.75" customHeight="1" x14ac:dyDescent="0.25">
      <c r="B49" s="175"/>
      <c r="C49" s="131"/>
      <c r="D49" s="158"/>
      <c r="E49" s="15" t="s">
        <v>3</v>
      </c>
      <c r="F49" s="13">
        <f>SUM(G49:L49)</f>
        <v>4368</v>
      </c>
      <c r="G49" s="16">
        <v>0</v>
      </c>
      <c r="H49" s="16">
        <v>0</v>
      </c>
      <c r="I49" s="16">
        <v>2093</v>
      </c>
      <c r="J49" s="16">
        <v>2275</v>
      </c>
      <c r="K49" s="16">
        <v>0</v>
      </c>
      <c r="L49" s="16">
        <v>0</v>
      </c>
    </row>
    <row r="50" spans="2:12" s="1" customFormat="1" ht="18.75" customHeight="1" x14ac:dyDescent="0.25">
      <c r="B50" s="175"/>
      <c r="C50" s="131"/>
      <c r="D50" s="158"/>
      <c r="E50" s="15" t="s">
        <v>4</v>
      </c>
      <c r="F50" s="13">
        <f t="shared" ref="F50:F51" si="27">SUM(G50:L50)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s="1" customFormat="1" ht="18.75" customHeight="1" x14ac:dyDescent="0.25">
      <c r="B51" s="176"/>
      <c r="C51" s="131"/>
      <c r="D51" s="134"/>
      <c r="E51" s="15" t="s">
        <v>6</v>
      </c>
      <c r="F51" s="13">
        <f t="shared" si="27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</row>
    <row r="52" spans="2:12" s="1" customFormat="1" ht="26.25" customHeight="1" x14ac:dyDescent="0.25">
      <c r="B52" s="177" t="s">
        <v>258</v>
      </c>
      <c r="C52" s="131" t="s">
        <v>259</v>
      </c>
      <c r="D52" s="132" t="s">
        <v>45</v>
      </c>
      <c r="E52" s="12" t="s">
        <v>2</v>
      </c>
      <c r="F52" s="13">
        <f>SUM(F53:F56)</f>
        <v>4862.5</v>
      </c>
      <c r="G52" s="13">
        <f t="shared" ref="G52:L52" si="28">SUM(G53:G56)</f>
        <v>0</v>
      </c>
      <c r="H52" s="13">
        <f t="shared" si="28"/>
        <v>0</v>
      </c>
      <c r="I52" s="13">
        <f t="shared" si="28"/>
        <v>0</v>
      </c>
      <c r="J52" s="13">
        <f t="shared" si="28"/>
        <v>4862.5</v>
      </c>
      <c r="K52" s="13">
        <f t="shared" si="28"/>
        <v>0</v>
      </c>
      <c r="L52" s="13">
        <f t="shared" si="28"/>
        <v>0</v>
      </c>
    </row>
    <row r="53" spans="2:12" s="1" customFormat="1" ht="26.25" customHeight="1" x14ac:dyDescent="0.25">
      <c r="B53" s="177"/>
      <c r="C53" s="131"/>
      <c r="D53" s="132"/>
      <c r="E53" s="15" t="s">
        <v>5</v>
      </c>
      <c r="F53" s="13">
        <f t="shared" ref="F53" si="29">SUM(G53:L53)</f>
        <v>437.7</v>
      </c>
      <c r="G53" s="16">
        <v>0</v>
      </c>
      <c r="H53" s="16">
        <v>0</v>
      </c>
      <c r="I53" s="16">
        <v>0</v>
      </c>
      <c r="J53" s="16">
        <v>437.7</v>
      </c>
      <c r="K53" s="16">
        <v>0</v>
      </c>
      <c r="L53" s="16">
        <v>0</v>
      </c>
    </row>
    <row r="54" spans="2:12" s="1" customFormat="1" ht="26.25" customHeight="1" x14ac:dyDescent="0.25">
      <c r="B54" s="177"/>
      <c r="C54" s="131"/>
      <c r="D54" s="132"/>
      <c r="E54" s="15" t="s">
        <v>3</v>
      </c>
      <c r="F54" s="13">
        <f>SUM(G54:L54)</f>
        <v>4424.8</v>
      </c>
      <c r="G54" s="16">
        <v>0</v>
      </c>
      <c r="H54" s="16">
        <v>0</v>
      </c>
      <c r="I54" s="16">
        <v>0</v>
      </c>
      <c r="J54" s="16">
        <v>4424.8</v>
      </c>
      <c r="K54" s="16">
        <v>0</v>
      </c>
      <c r="L54" s="16">
        <v>0</v>
      </c>
    </row>
    <row r="55" spans="2:12" s="1" customFormat="1" ht="26.25" customHeight="1" x14ac:dyDescent="0.25">
      <c r="B55" s="177"/>
      <c r="C55" s="131"/>
      <c r="D55" s="132"/>
      <c r="E55" s="15" t="s">
        <v>4</v>
      </c>
      <c r="F55" s="13">
        <f t="shared" ref="F55:F56" si="30">SUM(G55:L55)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</row>
    <row r="56" spans="2:12" s="1" customFormat="1" ht="26.25" customHeight="1" x14ac:dyDescent="0.25">
      <c r="B56" s="177"/>
      <c r="C56" s="131"/>
      <c r="D56" s="132"/>
      <c r="E56" s="15" t="s">
        <v>6</v>
      </c>
      <c r="F56" s="13">
        <f t="shared" si="30"/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</row>
    <row r="57" spans="2:12" s="1" customFormat="1" ht="15.75" customHeight="1" x14ac:dyDescent="0.25">
      <c r="B57" s="151" t="s">
        <v>7</v>
      </c>
      <c r="C57" s="169" t="s">
        <v>25</v>
      </c>
      <c r="D57" s="158" t="s">
        <v>45</v>
      </c>
      <c r="E57" s="31" t="s">
        <v>2</v>
      </c>
      <c r="F57" s="13">
        <f t="shared" si="24"/>
        <v>1077</v>
      </c>
      <c r="G57" s="30">
        <f t="shared" ref="G57:L57" si="31">SUM(G58:G61)</f>
        <v>247</v>
      </c>
      <c r="H57" s="30">
        <f t="shared" si="31"/>
        <v>146</v>
      </c>
      <c r="I57" s="30">
        <f t="shared" si="31"/>
        <v>30</v>
      </c>
      <c r="J57" s="30">
        <f t="shared" si="31"/>
        <v>242</v>
      </c>
      <c r="K57" s="30">
        <f t="shared" si="31"/>
        <v>202</v>
      </c>
      <c r="L57" s="30">
        <f t="shared" si="31"/>
        <v>210</v>
      </c>
    </row>
    <row r="58" spans="2:12" s="1" customFormat="1" ht="15.75" x14ac:dyDescent="0.25">
      <c r="B58" s="151"/>
      <c r="C58" s="169"/>
      <c r="D58" s="158"/>
      <c r="E58" s="32" t="s">
        <v>5</v>
      </c>
      <c r="F58" s="13">
        <f t="shared" si="24"/>
        <v>1077</v>
      </c>
      <c r="G58" s="16">
        <f>+G63</f>
        <v>247</v>
      </c>
      <c r="H58" s="16">
        <f t="shared" ref="H58" si="32">+H63</f>
        <v>146</v>
      </c>
      <c r="I58" s="16">
        <v>30</v>
      </c>
      <c r="J58" s="16">
        <v>242</v>
      </c>
      <c r="K58" s="16">
        <v>202</v>
      </c>
      <c r="L58" s="16">
        <v>210</v>
      </c>
    </row>
    <row r="59" spans="2:12" s="1" customFormat="1" ht="15.75" x14ac:dyDescent="0.25">
      <c r="B59" s="151"/>
      <c r="C59" s="169"/>
      <c r="D59" s="158"/>
      <c r="E59" s="15" t="s">
        <v>3</v>
      </c>
      <c r="F59" s="13">
        <f>SUM(G59:L59)</f>
        <v>0</v>
      </c>
      <c r="G59" s="16">
        <f t="shared" ref="G59:L61" si="33">+G64</f>
        <v>0</v>
      </c>
      <c r="H59" s="16">
        <f t="shared" si="33"/>
        <v>0</v>
      </c>
      <c r="I59" s="16">
        <f t="shared" si="33"/>
        <v>0</v>
      </c>
      <c r="J59" s="16">
        <f t="shared" si="33"/>
        <v>0</v>
      </c>
      <c r="K59" s="16">
        <f t="shared" si="33"/>
        <v>0</v>
      </c>
      <c r="L59" s="16">
        <f t="shared" si="33"/>
        <v>0</v>
      </c>
    </row>
    <row r="60" spans="2:12" s="1" customFormat="1" ht="15.75" x14ac:dyDescent="0.25">
      <c r="B60" s="151"/>
      <c r="C60" s="169"/>
      <c r="D60" s="158"/>
      <c r="E60" s="32" t="s">
        <v>4</v>
      </c>
      <c r="F60" s="13">
        <f t="shared" ref="F60:F73" si="34">SUM(G60:L60)</f>
        <v>0</v>
      </c>
      <c r="G60" s="16">
        <f t="shared" si="33"/>
        <v>0</v>
      </c>
      <c r="H60" s="16">
        <f t="shared" si="33"/>
        <v>0</v>
      </c>
      <c r="I60" s="16">
        <f t="shared" si="33"/>
        <v>0</v>
      </c>
      <c r="J60" s="16">
        <f t="shared" si="33"/>
        <v>0</v>
      </c>
      <c r="K60" s="16">
        <f t="shared" si="33"/>
        <v>0</v>
      </c>
      <c r="L60" s="16">
        <f t="shared" si="33"/>
        <v>0</v>
      </c>
    </row>
    <row r="61" spans="2:12" s="1" customFormat="1" ht="15.75" x14ac:dyDescent="0.25">
      <c r="B61" s="152"/>
      <c r="C61" s="170"/>
      <c r="D61" s="134"/>
      <c r="E61" s="32" t="s">
        <v>6</v>
      </c>
      <c r="F61" s="13">
        <f t="shared" si="34"/>
        <v>0</v>
      </c>
      <c r="G61" s="16">
        <f t="shared" si="33"/>
        <v>0</v>
      </c>
      <c r="H61" s="16">
        <f t="shared" si="33"/>
        <v>0</v>
      </c>
      <c r="I61" s="16">
        <f t="shared" si="33"/>
        <v>0</v>
      </c>
      <c r="J61" s="16">
        <f t="shared" si="33"/>
        <v>0</v>
      </c>
      <c r="K61" s="16">
        <f t="shared" si="33"/>
        <v>0</v>
      </c>
      <c r="L61" s="16">
        <f t="shared" si="33"/>
        <v>0</v>
      </c>
    </row>
    <row r="62" spans="2:12" s="1" customFormat="1" ht="15.75" x14ac:dyDescent="0.25">
      <c r="B62" s="150" t="s">
        <v>11</v>
      </c>
      <c r="C62" s="145" t="s">
        <v>260</v>
      </c>
      <c r="D62" s="133" t="s">
        <v>1</v>
      </c>
      <c r="E62" s="12" t="s">
        <v>2</v>
      </c>
      <c r="F62" s="13">
        <f t="shared" si="34"/>
        <v>423</v>
      </c>
      <c r="G62" s="13">
        <f t="shared" ref="G62:L62" si="35">SUM(G63:G66)</f>
        <v>247</v>
      </c>
      <c r="H62" s="13">
        <f t="shared" si="35"/>
        <v>146</v>
      </c>
      <c r="I62" s="13">
        <f t="shared" si="35"/>
        <v>30</v>
      </c>
      <c r="J62" s="13">
        <f t="shared" si="35"/>
        <v>0</v>
      </c>
      <c r="K62" s="13">
        <f t="shared" si="35"/>
        <v>0</v>
      </c>
      <c r="L62" s="13">
        <f t="shared" si="35"/>
        <v>0</v>
      </c>
    </row>
    <row r="63" spans="2:12" s="1" customFormat="1" ht="15.75" x14ac:dyDescent="0.25">
      <c r="B63" s="151"/>
      <c r="C63" s="146"/>
      <c r="D63" s="158"/>
      <c r="E63" s="15" t="s">
        <v>5</v>
      </c>
      <c r="F63" s="13">
        <f t="shared" si="34"/>
        <v>423</v>
      </c>
      <c r="G63" s="16">
        <f>G68+G73</f>
        <v>247</v>
      </c>
      <c r="H63" s="16">
        <f t="shared" ref="H63" si="36">H68+H73</f>
        <v>146</v>
      </c>
      <c r="I63" s="16">
        <v>30</v>
      </c>
      <c r="J63" s="16">
        <v>0</v>
      </c>
      <c r="K63" s="16">
        <v>0</v>
      </c>
      <c r="L63" s="16">
        <v>0</v>
      </c>
    </row>
    <row r="64" spans="2:12" s="1" customFormat="1" ht="15.75" x14ac:dyDescent="0.25">
      <c r="B64" s="151"/>
      <c r="C64" s="146"/>
      <c r="D64" s="158"/>
      <c r="E64" s="15" t="s">
        <v>3</v>
      </c>
      <c r="F64" s="13">
        <f>SUM(G64:L64)</f>
        <v>0</v>
      </c>
      <c r="G64" s="16">
        <f t="shared" ref="G64:L66" si="37">G69+G74</f>
        <v>0</v>
      </c>
      <c r="H64" s="16">
        <f t="shared" si="37"/>
        <v>0</v>
      </c>
      <c r="I64" s="16">
        <f t="shared" si="37"/>
        <v>0</v>
      </c>
      <c r="J64" s="16">
        <f t="shared" si="37"/>
        <v>0</v>
      </c>
      <c r="K64" s="16">
        <f t="shared" si="37"/>
        <v>0</v>
      </c>
      <c r="L64" s="16">
        <f t="shared" si="37"/>
        <v>0</v>
      </c>
    </row>
    <row r="65" spans="2:12" s="1" customFormat="1" ht="15.75" x14ac:dyDescent="0.25">
      <c r="B65" s="151"/>
      <c r="C65" s="146"/>
      <c r="D65" s="158"/>
      <c r="E65" s="15" t="s">
        <v>4</v>
      </c>
      <c r="F65" s="13">
        <f t="shared" ref="F65" si="38">SUM(G65:L65)</f>
        <v>0</v>
      </c>
      <c r="G65" s="16">
        <f t="shared" si="37"/>
        <v>0</v>
      </c>
      <c r="H65" s="16">
        <f t="shared" si="37"/>
        <v>0</v>
      </c>
      <c r="I65" s="16">
        <f t="shared" si="37"/>
        <v>0</v>
      </c>
      <c r="J65" s="16">
        <f t="shared" si="37"/>
        <v>0</v>
      </c>
      <c r="K65" s="16">
        <f t="shared" si="37"/>
        <v>0</v>
      </c>
      <c r="L65" s="16">
        <f t="shared" si="37"/>
        <v>0</v>
      </c>
    </row>
    <row r="66" spans="2:12" s="1" customFormat="1" ht="15.75" x14ac:dyDescent="0.25">
      <c r="B66" s="152"/>
      <c r="C66" s="147"/>
      <c r="D66" s="134"/>
      <c r="E66" s="32" t="s">
        <v>6</v>
      </c>
      <c r="F66" s="13">
        <f>I66</f>
        <v>0</v>
      </c>
      <c r="G66" s="16">
        <f t="shared" si="37"/>
        <v>0</v>
      </c>
      <c r="H66" s="16">
        <f t="shared" si="37"/>
        <v>0</v>
      </c>
      <c r="I66" s="16">
        <f t="shared" si="37"/>
        <v>0</v>
      </c>
      <c r="J66" s="16">
        <f t="shared" si="37"/>
        <v>0</v>
      </c>
      <c r="K66" s="16">
        <f t="shared" si="37"/>
        <v>0</v>
      </c>
      <c r="L66" s="16">
        <f t="shared" si="37"/>
        <v>0</v>
      </c>
    </row>
    <row r="67" spans="2:12" s="1" customFormat="1" ht="15.75" x14ac:dyDescent="0.25">
      <c r="B67" s="142" t="s">
        <v>116</v>
      </c>
      <c r="C67" s="145" t="s">
        <v>51</v>
      </c>
      <c r="D67" s="133" t="s">
        <v>45</v>
      </c>
      <c r="E67" s="12" t="s">
        <v>2</v>
      </c>
      <c r="F67" s="13">
        <f>F68+F69+F70+F71</f>
        <v>129</v>
      </c>
      <c r="G67" s="13">
        <f t="shared" ref="G67:L67" si="39">G68+G69+G70+G71</f>
        <v>82</v>
      </c>
      <c r="H67" s="13">
        <f t="shared" si="39"/>
        <v>17</v>
      </c>
      <c r="I67" s="13">
        <f t="shared" si="39"/>
        <v>30</v>
      </c>
      <c r="J67" s="13">
        <f t="shared" si="39"/>
        <v>0</v>
      </c>
      <c r="K67" s="13">
        <f t="shared" si="39"/>
        <v>0</v>
      </c>
      <c r="L67" s="13">
        <f t="shared" si="39"/>
        <v>0</v>
      </c>
    </row>
    <row r="68" spans="2:12" s="35" customFormat="1" ht="15.75" x14ac:dyDescent="0.25">
      <c r="B68" s="166"/>
      <c r="C68" s="154"/>
      <c r="D68" s="178"/>
      <c r="E68" s="33" t="s">
        <v>5</v>
      </c>
      <c r="F68" s="13">
        <f t="shared" si="34"/>
        <v>129</v>
      </c>
      <c r="G68" s="34">
        <v>82</v>
      </c>
      <c r="H68" s="34">
        <v>17</v>
      </c>
      <c r="I68" s="34">
        <v>30</v>
      </c>
      <c r="J68" s="34">
        <v>0</v>
      </c>
      <c r="K68" s="34">
        <v>0</v>
      </c>
      <c r="L68" s="34">
        <v>0</v>
      </c>
    </row>
    <row r="69" spans="2:12" s="35" customFormat="1" ht="15.75" x14ac:dyDescent="0.25">
      <c r="B69" s="166"/>
      <c r="C69" s="154"/>
      <c r="D69" s="178"/>
      <c r="E69" s="15" t="s">
        <v>3</v>
      </c>
      <c r="F69" s="13">
        <f>SUM(G69:L69)</f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</row>
    <row r="70" spans="2:12" s="35" customFormat="1" ht="15.75" x14ac:dyDescent="0.25">
      <c r="B70" s="166"/>
      <c r="C70" s="154"/>
      <c r="D70" s="178"/>
      <c r="E70" s="15" t="s">
        <v>4</v>
      </c>
      <c r="F70" s="13">
        <f>SUM(G70:L70)</f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s="35" customFormat="1" ht="15.75" x14ac:dyDescent="0.25">
      <c r="B71" s="167"/>
      <c r="C71" s="155"/>
      <c r="D71" s="179"/>
      <c r="E71" s="32" t="s">
        <v>6</v>
      </c>
      <c r="F71" s="13">
        <f>SUM(G71:L71)</f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</row>
    <row r="72" spans="2:12" s="35" customFormat="1" ht="15.75" x14ac:dyDescent="0.25">
      <c r="B72" s="142" t="s">
        <v>166</v>
      </c>
      <c r="C72" s="145" t="s">
        <v>252</v>
      </c>
      <c r="D72" s="133" t="s">
        <v>45</v>
      </c>
      <c r="E72" s="12" t="s">
        <v>2</v>
      </c>
      <c r="F72" s="13">
        <f>F73+F74+F75+F76</f>
        <v>294</v>
      </c>
      <c r="G72" s="13">
        <f t="shared" ref="G72:L72" si="40">G73+G74+G75+G76</f>
        <v>165</v>
      </c>
      <c r="H72" s="13">
        <f t="shared" si="40"/>
        <v>129</v>
      </c>
      <c r="I72" s="13">
        <f t="shared" si="40"/>
        <v>0</v>
      </c>
      <c r="J72" s="13">
        <f t="shared" si="40"/>
        <v>0</v>
      </c>
      <c r="K72" s="13">
        <f t="shared" si="40"/>
        <v>0</v>
      </c>
      <c r="L72" s="13">
        <f t="shared" si="40"/>
        <v>0</v>
      </c>
    </row>
    <row r="73" spans="2:12" s="1" customFormat="1" ht="15.75" x14ac:dyDescent="0.25">
      <c r="B73" s="143"/>
      <c r="C73" s="146"/>
      <c r="D73" s="178"/>
      <c r="E73" s="32" t="s">
        <v>5</v>
      </c>
      <c r="F73" s="13">
        <f t="shared" si="34"/>
        <v>294</v>
      </c>
      <c r="G73" s="16">
        <v>165</v>
      </c>
      <c r="H73" s="16">
        <f>146-H68</f>
        <v>129</v>
      </c>
      <c r="I73" s="16">
        <v>0</v>
      </c>
      <c r="J73" s="16">
        <v>0</v>
      </c>
      <c r="K73" s="16">
        <v>0</v>
      </c>
      <c r="L73" s="16">
        <v>0</v>
      </c>
    </row>
    <row r="74" spans="2:12" s="1" customFormat="1" ht="15.75" x14ac:dyDescent="0.25">
      <c r="B74" s="143"/>
      <c r="C74" s="146"/>
      <c r="D74" s="178"/>
      <c r="E74" s="15" t="s">
        <v>3</v>
      </c>
      <c r="F74" s="13">
        <f t="shared" ref="F74:F76" si="41">SUM(G74:L74)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s="1" customFormat="1" ht="15.75" x14ac:dyDescent="0.25">
      <c r="B75" s="143"/>
      <c r="C75" s="146"/>
      <c r="D75" s="178"/>
      <c r="E75" s="15" t="s">
        <v>4</v>
      </c>
      <c r="F75" s="13">
        <f t="shared" si="41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</row>
    <row r="76" spans="2:12" s="1" customFormat="1" ht="15.75" x14ac:dyDescent="0.25">
      <c r="B76" s="144"/>
      <c r="C76" s="147"/>
      <c r="D76" s="179"/>
      <c r="E76" s="32" t="s">
        <v>6</v>
      </c>
      <c r="F76" s="13">
        <f t="shared" si="41"/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</row>
    <row r="77" spans="2:12" s="1" customFormat="1" ht="15.75" x14ac:dyDescent="0.25">
      <c r="B77" s="150" t="s">
        <v>8</v>
      </c>
      <c r="C77" s="138" t="s">
        <v>52</v>
      </c>
      <c r="D77" s="132" t="s">
        <v>1</v>
      </c>
      <c r="E77" s="12" t="s">
        <v>2</v>
      </c>
      <c r="F77" s="30">
        <f>SUM(F78:F81)</f>
        <v>872</v>
      </c>
      <c r="G77" s="30">
        <f t="shared" ref="G77:L77" si="42">SUM(G78:G81)</f>
        <v>58</v>
      </c>
      <c r="H77" s="30">
        <f t="shared" si="42"/>
        <v>240</v>
      </c>
      <c r="I77" s="30">
        <f t="shared" si="42"/>
        <v>67</v>
      </c>
      <c r="J77" s="30">
        <f t="shared" si="42"/>
        <v>265</v>
      </c>
      <c r="K77" s="30">
        <f t="shared" si="42"/>
        <v>120</v>
      </c>
      <c r="L77" s="30">
        <f t="shared" si="42"/>
        <v>122</v>
      </c>
    </row>
    <row r="78" spans="2:12" s="1" customFormat="1" ht="15.75" x14ac:dyDescent="0.25">
      <c r="B78" s="151"/>
      <c r="C78" s="138"/>
      <c r="D78" s="132"/>
      <c r="E78" s="15" t="s">
        <v>5</v>
      </c>
      <c r="F78" s="13">
        <f t="shared" ref="F78" si="43">SUM(G78:L78)</f>
        <v>872</v>
      </c>
      <c r="G78" s="16">
        <f>G83+G88</f>
        <v>58</v>
      </c>
      <c r="H78" s="16">
        <f t="shared" ref="H78:L78" si="44">H83+H88</f>
        <v>240</v>
      </c>
      <c r="I78" s="16">
        <f>I83+I88</f>
        <v>67</v>
      </c>
      <c r="J78" s="16">
        <f t="shared" si="44"/>
        <v>265</v>
      </c>
      <c r="K78" s="16">
        <f t="shared" si="44"/>
        <v>120</v>
      </c>
      <c r="L78" s="16">
        <f t="shared" si="44"/>
        <v>122</v>
      </c>
    </row>
    <row r="79" spans="2:12" s="1" customFormat="1" ht="15.75" x14ac:dyDescent="0.25">
      <c r="B79" s="151"/>
      <c r="C79" s="138"/>
      <c r="D79" s="132"/>
      <c r="E79" s="15" t="s">
        <v>3</v>
      </c>
      <c r="F79" s="13">
        <f>SUM(G79:L79)</f>
        <v>0</v>
      </c>
      <c r="G79" s="16">
        <f t="shared" ref="G79:L81" si="45">G84+G89</f>
        <v>0</v>
      </c>
      <c r="H79" s="16">
        <f t="shared" si="45"/>
        <v>0</v>
      </c>
      <c r="I79" s="16">
        <f t="shared" si="45"/>
        <v>0</v>
      </c>
      <c r="J79" s="16">
        <f t="shared" si="45"/>
        <v>0</v>
      </c>
      <c r="K79" s="16">
        <f t="shared" si="45"/>
        <v>0</v>
      </c>
      <c r="L79" s="16">
        <f t="shared" si="45"/>
        <v>0</v>
      </c>
    </row>
    <row r="80" spans="2:12" s="1" customFormat="1" ht="15.75" x14ac:dyDescent="0.25">
      <c r="B80" s="151"/>
      <c r="C80" s="138"/>
      <c r="D80" s="132"/>
      <c r="E80" s="15" t="s">
        <v>4</v>
      </c>
      <c r="F80" s="13">
        <f t="shared" ref="F80:F81" si="46">SUM(G80:L80)</f>
        <v>0</v>
      </c>
      <c r="G80" s="16">
        <f t="shared" si="45"/>
        <v>0</v>
      </c>
      <c r="H80" s="16">
        <f t="shared" si="45"/>
        <v>0</v>
      </c>
      <c r="I80" s="16">
        <f t="shared" si="45"/>
        <v>0</v>
      </c>
      <c r="J80" s="16">
        <f t="shared" si="45"/>
        <v>0</v>
      </c>
      <c r="K80" s="16">
        <f t="shared" si="45"/>
        <v>0</v>
      </c>
      <c r="L80" s="16">
        <f t="shared" si="45"/>
        <v>0</v>
      </c>
    </row>
    <row r="81" spans="2:12" s="1" customFormat="1" ht="15.75" x14ac:dyDescent="0.25">
      <c r="B81" s="152"/>
      <c r="C81" s="138"/>
      <c r="D81" s="132"/>
      <c r="E81" s="15" t="s">
        <v>6</v>
      </c>
      <c r="F81" s="13">
        <f t="shared" si="46"/>
        <v>0</v>
      </c>
      <c r="G81" s="16">
        <f t="shared" si="45"/>
        <v>0</v>
      </c>
      <c r="H81" s="16">
        <f t="shared" si="45"/>
        <v>0</v>
      </c>
      <c r="I81" s="16">
        <f t="shared" si="45"/>
        <v>0</v>
      </c>
      <c r="J81" s="16">
        <f t="shared" si="45"/>
        <v>0</v>
      </c>
      <c r="K81" s="16">
        <f t="shared" si="45"/>
        <v>0</v>
      </c>
      <c r="L81" s="16">
        <f t="shared" si="45"/>
        <v>0</v>
      </c>
    </row>
    <row r="82" spans="2:12" s="1" customFormat="1" ht="24.75" customHeight="1" x14ac:dyDescent="0.25">
      <c r="B82" s="177" t="s">
        <v>27</v>
      </c>
      <c r="C82" s="131" t="s">
        <v>53</v>
      </c>
      <c r="D82" s="132" t="s">
        <v>1</v>
      </c>
      <c r="E82" s="12" t="s">
        <v>2</v>
      </c>
      <c r="F82" s="30">
        <f>SUM(F83:F86)</f>
        <v>133.30000000000001</v>
      </c>
      <c r="G82" s="30">
        <f t="shared" ref="G82:L82" si="47">SUM(G83:G86)</f>
        <v>14.3</v>
      </c>
      <c r="H82" s="30">
        <f t="shared" si="47"/>
        <v>52</v>
      </c>
      <c r="I82" s="30">
        <f t="shared" si="47"/>
        <v>67</v>
      </c>
      <c r="J82" s="30">
        <f t="shared" si="47"/>
        <v>0</v>
      </c>
      <c r="K82" s="30">
        <f t="shared" si="47"/>
        <v>0</v>
      </c>
      <c r="L82" s="30">
        <f t="shared" si="47"/>
        <v>0</v>
      </c>
    </row>
    <row r="83" spans="2:12" s="1" customFormat="1" ht="24.75" customHeight="1" x14ac:dyDescent="0.25">
      <c r="B83" s="177"/>
      <c r="C83" s="131"/>
      <c r="D83" s="132"/>
      <c r="E83" s="15" t="s">
        <v>5</v>
      </c>
      <c r="F83" s="13">
        <f t="shared" ref="F83" si="48">SUM(G83:L83)</f>
        <v>133.30000000000001</v>
      </c>
      <c r="G83" s="16">
        <v>14.3</v>
      </c>
      <c r="H83" s="16">
        <v>52</v>
      </c>
      <c r="I83" s="16">
        <v>67</v>
      </c>
      <c r="J83" s="16">
        <v>0</v>
      </c>
      <c r="K83" s="16">
        <v>0</v>
      </c>
      <c r="L83" s="16">
        <v>0</v>
      </c>
    </row>
    <row r="84" spans="2:12" s="1" customFormat="1" ht="24.75" customHeight="1" x14ac:dyDescent="0.25">
      <c r="B84" s="177"/>
      <c r="C84" s="131"/>
      <c r="D84" s="132"/>
      <c r="E84" s="15" t="s">
        <v>3</v>
      </c>
      <c r="F84" s="13">
        <f>SUM(G84:L84)</f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</row>
    <row r="85" spans="2:12" s="1" customFormat="1" ht="24.75" customHeight="1" x14ac:dyDescent="0.25">
      <c r="B85" s="177"/>
      <c r="C85" s="131"/>
      <c r="D85" s="132"/>
      <c r="E85" s="15" t="s">
        <v>4</v>
      </c>
      <c r="F85" s="13">
        <f t="shared" ref="F85:F86" si="49">SUM(G85:L85)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</row>
    <row r="86" spans="2:12" s="1" customFormat="1" ht="24.75" customHeight="1" x14ac:dyDescent="0.25">
      <c r="B86" s="177"/>
      <c r="C86" s="131"/>
      <c r="D86" s="132"/>
      <c r="E86" s="15" t="s">
        <v>6</v>
      </c>
      <c r="F86" s="13">
        <f t="shared" si="49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s="1" customFormat="1" ht="15.75" x14ac:dyDescent="0.25">
      <c r="B87" s="177" t="s">
        <v>29</v>
      </c>
      <c r="C87" s="131" t="s">
        <v>115</v>
      </c>
      <c r="D87" s="132" t="s">
        <v>1</v>
      </c>
      <c r="E87" s="12" t="s">
        <v>2</v>
      </c>
      <c r="F87" s="30">
        <f>SUM(F88:F91)</f>
        <v>738.7</v>
      </c>
      <c r="G87" s="30">
        <f t="shared" ref="G87:L87" si="50">SUM(G88:G91)</f>
        <v>43.7</v>
      </c>
      <c r="H87" s="30">
        <f t="shared" si="50"/>
        <v>188</v>
      </c>
      <c r="I87" s="30">
        <f t="shared" si="50"/>
        <v>0</v>
      </c>
      <c r="J87" s="30">
        <f t="shared" si="50"/>
        <v>265</v>
      </c>
      <c r="K87" s="30">
        <f t="shared" si="50"/>
        <v>120</v>
      </c>
      <c r="L87" s="30">
        <f t="shared" si="50"/>
        <v>122</v>
      </c>
    </row>
    <row r="88" spans="2:12" s="1" customFormat="1" ht="15.75" x14ac:dyDescent="0.25">
      <c r="B88" s="177"/>
      <c r="C88" s="131"/>
      <c r="D88" s="132"/>
      <c r="E88" s="15" t="s">
        <v>5</v>
      </c>
      <c r="F88" s="13">
        <f t="shared" ref="F88" si="51">SUM(G88:L88)</f>
        <v>738.7</v>
      </c>
      <c r="G88" s="16">
        <f>58-G83</f>
        <v>43.7</v>
      </c>
      <c r="H88" s="16">
        <f>240-H83</f>
        <v>188</v>
      </c>
      <c r="I88" s="16">
        <v>0</v>
      </c>
      <c r="J88" s="16">
        <v>265</v>
      </c>
      <c r="K88" s="16">
        <v>120</v>
      </c>
      <c r="L88" s="16">
        <v>122</v>
      </c>
    </row>
    <row r="89" spans="2:12" s="1" customFormat="1" ht="15.75" x14ac:dyDescent="0.25">
      <c r="B89" s="177"/>
      <c r="C89" s="131"/>
      <c r="D89" s="132"/>
      <c r="E89" s="15" t="s">
        <v>3</v>
      </c>
      <c r="F89" s="13">
        <f>SUM(G89:L89)</f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</row>
    <row r="90" spans="2:12" s="1" customFormat="1" ht="15.75" x14ac:dyDescent="0.25">
      <c r="B90" s="177"/>
      <c r="C90" s="131"/>
      <c r="D90" s="132"/>
      <c r="E90" s="15" t="s">
        <v>4</v>
      </c>
      <c r="F90" s="13">
        <f t="shared" ref="F90:F91" si="52">SUM(G90:L90)</f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s="1" customFormat="1" ht="15.75" x14ac:dyDescent="0.25">
      <c r="B91" s="177"/>
      <c r="C91" s="131"/>
      <c r="D91" s="132"/>
      <c r="E91" s="15" t="s">
        <v>6</v>
      </c>
      <c r="F91" s="13">
        <f t="shared" si="52"/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</row>
    <row r="92" spans="2:12" s="1" customFormat="1" ht="32.25" customHeight="1" x14ac:dyDescent="0.25">
      <c r="B92" s="150" t="s">
        <v>9</v>
      </c>
      <c r="C92" s="138" t="s">
        <v>167</v>
      </c>
      <c r="D92" s="132" t="s">
        <v>1</v>
      </c>
      <c r="E92" s="12" t="s">
        <v>2</v>
      </c>
      <c r="F92" s="30">
        <f>SUM(F93:F96)</f>
        <v>4754657.3999999994</v>
      </c>
      <c r="G92" s="30">
        <f t="shared" ref="G92:L92" si="53">SUM(G93:G96)</f>
        <v>711920.4</v>
      </c>
      <c r="H92" s="30">
        <f t="shared" si="53"/>
        <v>731919</v>
      </c>
      <c r="I92" s="30">
        <f t="shared" si="53"/>
        <v>847520.4</v>
      </c>
      <c r="J92" s="30">
        <f t="shared" si="53"/>
        <v>928724.4</v>
      </c>
      <c r="K92" s="30">
        <f t="shared" si="53"/>
        <v>767286.6</v>
      </c>
      <c r="L92" s="30">
        <f t="shared" si="53"/>
        <v>767286.6</v>
      </c>
    </row>
    <row r="93" spans="2:12" s="1" customFormat="1" ht="32.25" customHeight="1" x14ac:dyDescent="0.25">
      <c r="B93" s="151"/>
      <c r="C93" s="138"/>
      <c r="D93" s="132"/>
      <c r="E93" s="15" t="s">
        <v>5</v>
      </c>
      <c r="F93" s="13">
        <f t="shared" ref="F93" si="54">SUM(G93:L93)</f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</row>
    <row r="94" spans="2:12" s="1" customFormat="1" ht="32.25" customHeight="1" x14ac:dyDescent="0.25">
      <c r="B94" s="151"/>
      <c r="C94" s="138"/>
      <c r="D94" s="132"/>
      <c r="E94" s="15" t="s">
        <v>3</v>
      </c>
      <c r="F94" s="13">
        <f>SUM(G94:L94)</f>
        <v>4754657.3999999994</v>
      </c>
      <c r="G94" s="16">
        <f>701620.8+10299.6</f>
        <v>711920.4</v>
      </c>
      <c r="H94" s="16">
        <v>731919</v>
      </c>
      <c r="I94" s="16">
        <v>847520.4</v>
      </c>
      <c r="J94" s="16">
        <v>928724.4</v>
      </c>
      <c r="K94" s="16">
        <v>767286.6</v>
      </c>
      <c r="L94" s="16">
        <v>767286.6</v>
      </c>
    </row>
    <row r="95" spans="2:12" s="1" customFormat="1" ht="32.25" customHeight="1" x14ac:dyDescent="0.25">
      <c r="B95" s="151"/>
      <c r="C95" s="138"/>
      <c r="D95" s="132"/>
      <c r="E95" s="15" t="s">
        <v>4</v>
      </c>
      <c r="F95" s="13">
        <f t="shared" ref="F95:F96" si="55">SUM(G95:L95)</f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</row>
    <row r="96" spans="2:12" s="1" customFormat="1" ht="32.25" customHeight="1" x14ac:dyDescent="0.25">
      <c r="B96" s="152"/>
      <c r="C96" s="138"/>
      <c r="D96" s="132"/>
      <c r="E96" s="15" t="s">
        <v>6</v>
      </c>
      <c r="F96" s="13">
        <f t="shared" si="55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</row>
    <row r="97" spans="2:12" s="1" customFormat="1" ht="15.75" customHeight="1" x14ac:dyDescent="0.25">
      <c r="B97" s="150" t="s">
        <v>10</v>
      </c>
      <c r="C97" s="168" t="s">
        <v>54</v>
      </c>
      <c r="D97" s="132" t="s">
        <v>1</v>
      </c>
      <c r="E97" s="12" t="s">
        <v>2</v>
      </c>
      <c r="F97" s="30">
        <f>SUM(F98:F101)</f>
        <v>3900</v>
      </c>
      <c r="G97" s="30">
        <f t="shared" ref="G97:L97" si="56">SUM(G98:G101)</f>
        <v>0</v>
      </c>
      <c r="H97" s="30">
        <f t="shared" si="56"/>
        <v>1700</v>
      </c>
      <c r="I97" s="30">
        <f t="shared" si="56"/>
        <v>0</v>
      </c>
      <c r="J97" s="30">
        <f t="shared" si="56"/>
        <v>0</v>
      </c>
      <c r="K97" s="30">
        <f t="shared" si="56"/>
        <v>0</v>
      </c>
      <c r="L97" s="30">
        <f t="shared" si="56"/>
        <v>2200</v>
      </c>
    </row>
    <row r="98" spans="2:12" s="1" customFormat="1" ht="15.75" customHeight="1" x14ac:dyDescent="0.25">
      <c r="B98" s="151"/>
      <c r="C98" s="169"/>
      <c r="D98" s="132"/>
      <c r="E98" s="15" t="s">
        <v>5</v>
      </c>
      <c r="F98" s="13">
        <f t="shared" ref="F98" si="57">SUM(G98:L98)</f>
        <v>442</v>
      </c>
      <c r="G98" s="16">
        <f>G103</f>
        <v>0</v>
      </c>
      <c r="H98" s="16">
        <f>H103</f>
        <v>244</v>
      </c>
      <c r="I98" s="16">
        <f t="shared" ref="I98:L100" si="58">I103</f>
        <v>0</v>
      </c>
      <c r="J98" s="16">
        <f t="shared" si="58"/>
        <v>0</v>
      </c>
      <c r="K98" s="16">
        <f t="shared" si="58"/>
        <v>0</v>
      </c>
      <c r="L98" s="16">
        <f t="shared" si="58"/>
        <v>198</v>
      </c>
    </row>
    <row r="99" spans="2:12" s="1" customFormat="1" ht="15.75" customHeight="1" x14ac:dyDescent="0.25">
      <c r="B99" s="151"/>
      <c r="C99" s="169"/>
      <c r="D99" s="132"/>
      <c r="E99" s="15" t="s">
        <v>3</v>
      </c>
      <c r="F99" s="13">
        <f>SUM(G99:L99)</f>
        <v>3458</v>
      </c>
      <c r="G99" s="16">
        <f t="shared" ref="G99:L101" si="59">G104</f>
        <v>0</v>
      </c>
      <c r="H99" s="16">
        <f t="shared" si="59"/>
        <v>1456</v>
      </c>
      <c r="I99" s="16">
        <f t="shared" si="58"/>
        <v>0</v>
      </c>
      <c r="J99" s="16">
        <f t="shared" si="58"/>
        <v>0</v>
      </c>
      <c r="K99" s="16">
        <f t="shared" si="58"/>
        <v>0</v>
      </c>
      <c r="L99" s="16">
        <f t="shared" si="58"/>
        <v>2002</v>
      </c>
    </row>
    <row r="100" spans="2:12" s="1" customFormat="1" ht="15.75" customHeight="1" x14ac:dyDescent="0.25">
      <c r="B100" s="151"/>
      <c r="C100" s="169"/>
      <c r="D100" s="132"/>
      <c r="E100" s="15" t="s">
        <v>4</v>
      </c>
      <c r="F100" s="13">
        <f t="shared" ref="F100:F101" si="60">SUM(G100:L100)</f>
        <v>0</v>
      </c>
      <c r="G100" s="16">
        <f t="shared" si="59"/>
        <v>0</v>
      </c>
      <c r="H100" s="16">
        <f t="shared" si="59"/>
        <v>0</v>
      </c>
      <c r="I100" s="16">
        <f t="shared" si="58"/>
        <v>0</v>
      </c>
      <c r="J100" s="16">
        <f t="shared" si="58"/>
        <v>0</v>
      </c>
      <c r="K100" s="16">
        <f t="shared" si="58"/>
        <v>0</v>
      </c>
      <c r="L100" s="16">
        <f t="shared" si="58"/>
        <v>0</v>
      </c>
    </row>
    <row r="101" spans="2:12" s="1" customFormat="1" ht="15.75" customHeight="1" x14ac:dyDescent="0.25">
      <c r="B101" s="151"/>
      <c r="C101" s="170"/>
      <c r="D101" s="132"/>
      <c r="E101" s="15" t="s">
        <v>6</v>
      </c>
      <c r="F101" s="13">
        <f t="shared" si="60"/>
        <v>0</v>
      </c>
      <c r="G101" s="16">
        <f t="shared" si="59"/>
        <v>0</v>
      </c>
      <c r="H101" s="16">
        <f t="shared" si="59"/>
        <v>0</v>
      </c>
      <c r="I101" s="16">
        <f t="shared" si="59"/>
        <v>0</v>
      </c>
      <c r="J101" s="16">
        <f t="shared" si="59"/>
        <v>0</v>
      </c>
      <c r="K101" s="16">
        <f t="shared" si="59"/>
        <v>0</v>
      </c>
      <c r="L101" s="16">
        <f t="shared" si="59"/>
        <v>0</v>
      </c>
    </row>
    <row r="102" spans="2:12" s="1" customFormat="1" ht="15.75" x14ac:dyDescent="0.25">
      <c r="B102" s="174" t="s">
        <v>55</v>
      </c>
      <c r="C102" s="145" t="s">
        <v>261</v>
      </c>
      <c r="D102" s="132" t="s">
        <v>1</v>
      </c>
      <c r="E102" s="12" t="s">
        <v>2</v>
      </c>
      <c r="F102" s="30">
        <f>SUM(F103:F106)</f>
        <v>3900</v>
      </c>
      <c r="G102" s="30">
        <f t="shared" ref="G102:L102" si="61">SUM(G103:G106)</f>
        <v>0</v>
      </c>
      <c r="H102" s="30">
        <f t="shared" si="61"/>
        <v>1700</v>
      </c>
      <c r="I102" s="30">
        <f t="shared" si="61"/>
        <v>0</v>
      </c>
      <c r="J102" s="30">
        <f t="shared" si="61"/>
        <v>0</v>
      </c>
      <c r="K102" s="30">
        <f t="shared" si="61"/>
        <v>0</v>
      </c>
      <c r="L102" s="30">
        <f t="shared" si="61"/>
        <v>2200</v>
      </c>
    </row>
    <row r="103" spans="2:12" s="1" customFormat="1" ht="15.75" x14ac:dyDescent="0.25">
      <c r="B103" s="175"/>
      <c r="C103" s="146"/>
      <c r="D103" s="132"/>
      <c r="E103" s="15" t="s">
        <v>5</v>
      </c>
      <c r="F103" s="13">
        <f t="shared" ref="F103" si="62">SUM(G103:L103)</f>
        <v>442</v>
      </c>
      <c r="G103" s="16">
        <v>0</v>
      </c>
      <c r="H103" s="16">
        <f>208+36</f>
        <v>244</v>
      </c>
      <c r="I103" s="16">
        <v>0</v>
      </c>
      <c r="J103" s="16">
        <v>0</v>
      </c>
      <c r="K103" s="16">
        <v>0</v>
      </c>
      <c r="L103" s="16">
        <v>198</v>
      </c>
    </row>
    <row r="104" spans="2:12" s="1" customFormat="1" ht="15.75" x14ac:dyDescent="0.25">
      <c r="B104" s="175"/>
      <c r="C104" s="146"/>
      <c r="D104" s="132"/>
      <c r="E104" s="15" t="s">
        <v>3</v>
      </c>
      <c r="F104" s="13">
        <f>SUM(G104:L104)</f>
        <v>3458</v>
      </c>
      <c r="G104" s="16">
        <v>0</v>
      </c>
      <c r="H104" s="16">
        <v>1456</v>
      </c>
      <c r="I104" s="16">
        <v>0</v>
      </c>
      <c r="J104" s="16">
        <v>0</v>
      </c>
      <c r="K104" s="16">
        <v>0</v>
      </c>
      <c r="L104" s="16">
        <v>2002</v>
      </c>
    </row>
    <row r="105" spans="2:12" s="1" customFormat="1" ht="15.75" x14ac:dyDescent="0.25">
      <c r="B105" s="175"/>
      <c r="C105" s="146"/>
      <c r="D105" s="132"/>
      <c r="E105" s="15" t="s">
        <v>4</v>
      </c>
      <c r="F105" s="13">
        <f t="shared" ref="F105:F106" si="63">SUM(G105:L105)</f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2:12" s="1" customFormat="1" ht="15.75" x14ac:dyDescent="0.25">
      <c r="B106" s="176"/>
      <c r="C106" s="147"/>
      <c r="D106" s="132"/>
      <c r="E106" s="15" t="s">
        <v>6</v>
      </c>
      <c r="F106" s="13">
        <f t="shared" si="63"/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s="1" customFormat="1" ht="18.75" customHeight="1" x14ac:dyDescent="0.25">
      <c r="B107" s="150">
        <v>6</v>
      </c>
      <c r="C107" s="168" t="s">
        <v>161</v>
      </c>
      <c r="D107" s="132" t="s">
        <v>1</v>
      </c>
      <c r="E107" s="12" t="s">
        <v>2</v>
      </c>
      <c r="F107" s="30">
        <f>SUM(F108:F111)</f>
        <v>23558.3</v>
      </c>
      <c r="G107" s="36">
        <f t="shared" ref="G107:L107" si="64">SUM(G108:G111)</f>
        <v>0</v>
      </c>
      <c r="H107" s="36">
        <f t="shared" si="64"/>
        <v>4029.4</v>
      </c>
      <c r="I107" s="36">
        <f t="shared" si="64"/>
        <v>4312.5</v>
      </c>
      <c r="J107" s="36">
        <f t="shared" si="64"/>
        <v>5429.3</v>
      </c>
      <c r="K107" s="36">
        <f t="shared" si="64"/>
        <v>5027.3999999999996</v>
      </c>
      <c r="L107" s="36">
        <f t="shared" si="64"/>
        <v>4759.7</v>
      </c>
    </row>
    <row r="108" spans="2:12" s="1" customFormat="1" ht="18.75" customHeight="1" x14ac:dyDescent="0.25">
      <c r="B108" s="151"/>
      <c r="C108" s="169"/>
      <c r="D108" s="132"/>
      <c r="E108" s="15" t="s">
        <v>5</v>
      </c>
      <c r="F108" s="13">
        <f t="shared" ref="F108" si="65">SUM(G108:L108)</f>
        <v>2120.4</v>
      </c>
      <c r="G108" s="37">
        <v>0</v>
      </c>
      <c r="H108" s="37">
        <f>438-75.3</f>
        <v>362.7</v>
      </c>
      <c r="I108" s="37">
        <f>326.9+61.2</f>
        <v>388.09999999999997</v>
      </c>
      <c r="J108" s="37">
        <v>488.7</v>
      </c>
      <c r="K108" s="37">
        <v>452.5</v>
      </c>
      <c r="L108" s="37">
        <v>428.4</v>
      </c>
    </row>
    <row r="109" spans="2:12" s="1" customFormat="1" ht="18.75" customHeight="1" x14ac:dyDescent="0.25">
      <c r="B109" s="151"/>
      <c r="C109" s="169"/>
      <c r="D109" s="132"/>
      <c r="E109" s="15" t="s">
        <v>3</v>
      </c>
      <c r="F109" s="13">
        <f>SUM(G109:L109)</f>
        <v>21437.899999999998</v>
      </c>
      <c r="G109" s="37">
        <v>0</v>
      </c>
      <c r="H109" s="37">
        <f>4428.1-761.4</f>
        <v>3666.7000000000003</v>
      </c>
      <c r="I109" s="37">
        <f>3305.3+619.1</f>
        <v>3924.4</v>
      </c>
      <c r="J109" s="37">
        <v>4940.6000000000004</v>
      </c>
      <c r="K109" s="37">
        <v>4574.8999999999996</v>
      </c>
      <c r="L109" s="37">
        <v>4331.3</v>
      </c>
    </row>
    <row r="110" spans="2:12" s="1" customFormat="1" ht="18.75" customHeight="1" x14ac:dyDescent="0.25">
      <c r="B110" s="151"/>
      <c r="C110" s="169"/>
      <c r="D110" s="132"/>
      <c r="E110" s="15" t="s">
        <v>4</v>
      </c>
      <c r="F110" s="13">
        <f t="shared" ref="F110:F111" si="66">SUM(G110:L110)</f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</row>
    <row r="111" spans="2:12" s="1" customFormat="1" ht="18.75" customHeight="1" x14ac:dyDescent="0.25">
      <c r="B111" s="152"/>
      <c r="C111" s="170"/>
      <c r="D111" s="132"/>
      <c r="E111" s="15" t="s">
        <v>6</v>
      </c>
      <c r="F111" s="13">
        <f t="shared" si="66"/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</row>
    <row r="112" spans="2:12" s="1" customFormat="1" ht="16.5" customHeight="1" x14ac:dyDescent="0.25">
      <c r="B112" s="150">
        <v>7</v>
      </c>
      <c r="C112" s="168" t="s">
        <v>170</v>
      </c>
      <c r="D112" s="132" t="s">
        <v>1</v>
      </c>
      <c r="E112" s="12" t="s">
        <v>2</v>
      </c>
      <c r="F112" s="30">
        <f>SUM(F113:F116)</f>
        <v>21036</v>
      </c>
      <c r="G112" s="30">
        <f t="shared" ref="G112:L112" si="67">SUM(G113:G116)</f>
        <v>0</v>
      </c>
      <c r="H112" s="30">
        <f t="shared" si="67"/>
        <v>3451.7</v>
      </c>
      <c r="I112" s="30">
        <f t="shared" si="67"/>
        <v>4859.7</v>
      </c>
      <c r="J112" s="30">
        <f t="shared" si="67"/>
        <v>4094.6</v>
      </c>
      <c r="K112" s="30">
        <f t="shared" si="67"/>
        <v>4315</v>
      </c>
      <c r="L112" s="30">
        <f t="shared" si="67"/>
        <v>4315</v>
      </c>
    </row>
    <row r="113" spans="2:12" s="1" customFormat="1" ht="16.5" customHeight="1" x14ac:dyDescent="0.25">
      <c r="B113" s="151"/>
      <c r="C113" s="169"/>
      <c r="D113" s="132"/>
      <c r="E113" s="15" t="s">
        <v>5</v>
      </c>
      <c r="F113" s="13">
        <f t="shared" ref="F113" si="68">SUM(G113:L113)</f>
        <v>1893.5</v>
      </c>
      <c r="G113" s="16">
        <v>0</v>
      </c>
      <c r="H113" s="16">
        <f>291.9+18.8</f>
        <v>310.7</v>
      </c>
      <c r="I113" s="16">
        <f>442-4.6</f>
        <v>437.4</v>
      </c>
      <c r="J113" s="16">
        <v>368.6</v>
      </c>
      <c r="K113" s="16">
        <v>388.4</v>
      </c>
      <c r="L113" s="16">
        <v>388.4</v>
      </c>
    </row>
    <row r="114" spans="2:12" s="1" customFormat="1" ht="16.5" customHeight="1" x14ac:dyDescent="0.25">
      <c r="B114" s="151"/>
      <c r="C114" s="169"/>
      <c r="D114" s="132"/>
      <c r="E114" s="15" t="s">
        <v>3</v>
      </c>
      <c r="F114" s="13">
        <f>SUM(G114:L114)</f>
        <v>19142.5</v>
      </c>
      <c r="G114" s="16">
        <v>0</v>
      </c>
      <c r="H114" s="16">
        <f>2951.3+189.7</f>
        <v>3141</v>
      </c>
      <c r="I114" s="16">
        <f>4469-46.7</f>
        <v>4422.3</v>
      </c>
      <c r="J114" s="16">
        <v>3726</v>
      </c>
      <c r="K114" s="16">
        <v>3926.6</v>
      </c>
      <c r="L114" s="16">
        <v>3926.6</v>
      </c>
    </row>
    <row r="115" spans="2:12" s="1" customFormat="1" ht="16.5" customHeight="1" x14ac:dyDescent="0.25">
      <c r="B115" s="151"/>
      <c r="C115" s="169"/>
      <c r="D115" s="132"/>
      <c r="E115" s="15" t="s">
        <v>4</v>
      </c>
      <c r="F115" s="13">
        <f t="shared" ref="F115:F116" si="69">SUM(G115:L115)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</row>
    <row r="116" spans="2:12" s="1" customFormat="1" ht="16.5" customHeight="1" x14ac:dyDescent="0.25">
      <c r="B116" s="152"/>
      <c r="C116" s="170"/>
      <c r="D116" s="132"/>
      <c r="E116" s="15" t="s">
        <v>6</v>
      </c>
      <c r="F116" s="13">
        <f t="shared" si="69"/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</row>
    <row r="117" spans="2:12" s="1" customFormat="1" ht="31.5" customHeight="1" x14ac:dyDescent="0.25">
      <c r="B117" s="150">
        <v>8</v>
      </c>
      <c r="C117" s="168" t="s">
        <v>171</v>
      </c>
      <c r="D117" s="132" t="s">
        <v>1</v>
      </c>
      <c r="E117" s="12" t="s">
        <v>2</v>
      </c>
      <c r="F117" s="30">
        <f>SUM(F118:F121)</f>
        <v>6403.7000000000007</v>
      </c>
      <c r="G117" s="30">
        <f t="shared" ref="G117:L117" si="70">SUM(G118:G121)</f>
        <v>0</v>
      </c>
      <c r="H117" s="30">
        <f t="shared" si="70"/>
        <v>6403.7000000000007</v>
      </c>
      <c r="I117" s="30">
        <f t="shared" si="70"/>
        <v>0</v>
      </c>
      <c r="J117" s="30">
        <f t="shared" si="70"/>
        <v>0</v>
      </c>
      <c r="K117" s="30">
        <f t="shared" si="70"/>
        <v>0</v>
      </c>
      <c r="L117" s="30">
        <f t="shared" si="70"/>
        <v>0</v>
      </c>
    </row>
    <row r="118" spans="2:12" s="1" customFormat="1" ht="31.5" customHeight="1" x14ac:dyDescent="0.25">
      <c r="B118" s="151"/>
      <c r="C118" s="169"/>
      <c r="D118" s="132"/>
      <c r="E118" s="15" t="s">
        <v>5</v>
      </c>
      <c r="F118" s="13">
        <f t="shared" ref="F118" si="71">SUM(G118:L118)</f>
        <v>716.2</v>
      </c>
      <c r="G118" s="16">
        <v>0</v>
      </c>
      <c r="H118" s="16">
        <f>+H123+H128</f>
        <v>716.2</v>
      </c>
      <c r="I118" s="16">
        <v>0</v>
      </c>
      <c r="J118" s="16">
        <v>0</v>
      </c>
      <c r="K118" s="16">
        <v>0</v>
      </c>
      <c r="L118" s="16">
        <v>0</v>
      </c>
    </row>
    <row r="119" spans="2:12" s="1" customFormat="1" ht="31.5" customHeight="1" x14ac:dyDescent="0.25">
      <c r="B119" s="151"/>
      <c r="C119" s="169"/>
      <c r="D119" s="132"/>
      <c r="E119" s="15" t="s">
        <v>3</v>
      </c>
      <c r="F119" s="13">
        <f>SUM(G119:L119)</f>
        <v>1194.4000000000001</v>
      </c>
      <c r="G119" s="16">
        <v>0</v>
      </c>
      <c r="H119" s="16">
        <f>+H124+H129</f>
        <v>1194.4000000000001</v>
      </c>
      <c r="I119" s="16">
        <v>0</v>
      </c>
      <c r="J119" s="16">
        <v>0</v>
      </c>
      <c r="K119" s="16">
        <v>0</v>
      </c>
      <c r="L119" s="16">
        <v>0</v>
      </c>
    </row>
    <row r="120" spans="2:12" s="1" customFormat="1" ht="31.5" customHeight="1" x14ac:dyDescent="0.25">
      <c r="B120" s="151"/>
      <c r="C120" s="169"/>
      <c r="D120" s="132"/>
      <c r="E120" s="15" t="s">
        <v>4</v>
      </c>
      <c r="F120" s="13">
        <f t="shared" ref="F120:F121" si="72">SUM(G120:L120)</f>
        <v>4493.1000000000004</v>
      </c>
      <c r="G120" s="16">
        <v>0</v>
      </c>
      <c r="H120" s="16">
        <f>+H125+H130</f>
        <v>4493.1000000000004</v>
      </c>
      <c r="I120" s="16">
        <v>0</v>
      </c>
      <c r="J120" s="16">
        <v>0</v>
      </c>
      <c r="K120" s="16">
        <v>0</v>
      </c>
      <c r="L120" s="16">
        <v>0</v>
      </c>
    </row>
    <row r="121" spans="2:12" s="1" customFormat="1" ht="31.5" customHeight="1" x14ac:dyDescent="0.25">
      <c r="B121" s="152"/>
      <c r="C121" s="170"/>
      <c r="D121" s="132"/>
      <c r="E121" s="15" t="s">
        <v>6</v>
      </c>
      <c r="F121" s="13">
        <f t="shared" si="72"/>
        <v>0</v>
      </c>
      <c r="G121" s="16">
        <v>0</v>
      </c>
      <c r="H121" s="16">
        <f>+H126+H131</f>
        <v>0</v>
      </c>
      <c r="I121" s="16">
        <v>0</v>
      </c>
      <c r="J121" s="16">
        <v>0</v>
      </c>
      <c r="K121" s="16">
        <v>0</v>
      </c>
      <c r="L121" s="16">
        <v>0</v>
      </c>
    </row>
    <row r="122" spans="2:12" s="1" customFormat="1" ht="15.75" customHeight="1" x14ac:dyDescent="0.25">
      <c r="B122" s="171" t="s">
        <v>183</v>
      </c>
      <c r="C122" s="145" t="s">
        <v>185</v>
      </c>
      <c r="D122" s="132" t="s">
        <v>1</v>
      </c>
      <c r="E122" s="12" t="s">
        <v>2</v>
      </c>
      <c r="F122" s="30">
        <f>SUM(F123:F126)</f>
        <v>3449.3999999999996</v>
      </c>
      <c r="G122" s="30">
        <f t="shared" ref="G122:L122" si="73">SUM(G123:G126)</f>
        <v>0</v>
      </c>
      <c r="H122" s="30">
        <f t="shared" si="73"/>
        <v>3449.3999999999996</v>
      </c>
      <c r="I122" s="30">
        <f t="shared" si="73"/>
        <v>0</v>
      </c>
      <c r="J122" s="30">
        <f t="shared" si="73"/>
        <v>0</v>
      </c>
      <c r="K122" s="30">
        <f t="shared" si="73"/>
        <v>0</v>
      </c>
      <c r="L122" s="30">
        <f t="shared" si="73"/>
        <v>0</v>
      </c>
    </row>
    <row r="123" spans="2:12" s="1" customFormat="1" ht="15.75" x14ac:dyDescent="0.25">
      <c r="B123" s="143"/>
      <c r="C123" s="146"/>
      <c r="D123" s="132"/>
      <c r="E123" s="15" t="s">
        <v>5</v>
      </c>
      <c r="F123" s="13">
        <f t="shared" ref="F123" si="74">SUM(G123:L123)</f>
        <v>350.4</v>
      </c>
      <c r="G123" s="16">
        <v>0</v>
      </c>
      <c r="H123" s="16">
        <f>354.4-47.9+43.9</f>
        <v>350.4</v>
      </c>
      <c r="I123" s="16">
        <v>0</v>
      </c>
      <c r="J123" s="16">
        <v>0</v>
      </c>
      <c r="K123" s="16">
        <v>0</v>
      </c>
      <c r="L123" s="16">
        <v>0</v>
      </c>
    </row>
    <row r="124" spans="2:12" s="1" customFormat="1" ht="15.75" x14ac:dyDescent="0.25">
      <c r="B124" s="143"/>
      <c r="C124" s="146"/>
      <c r="D124" s="132"/>
      <c r="E124" s="15" t="s">
        <v>3</v>
      </c>
      <c r="F124" s="13">
        <f>SUM(G124:L124)</f>
        <v>653.9</v>
      </c>
      <c r="G124" s="16">
        <v>0</v>
      </c>
      <c r="H124" s="16">
        <f>752.4-98.5</f>
        <v>653.9</v>
      </c>
      <c r="I124" s="16">
        <v>0</v>
      </c>
      <c r="J124" s="16">
        <v>0</v>
      </c>
      <c r="K124" s="16">
        <v>0</v>
      </c>
      <c r="L124" s="16">
        <v>0</v>
      </c>
    </row>
    <row r="125" spans="2:12" s="1" customFormat="1" ht="15.75" x14ac:dyDescent="0.25">
      <c r="B125" s="143"/>
      <c r="C125" s="146"/>
      <c r="D125" s="132"/>
      <c r="E125" s="15" t="s">
        <v>4</v>
      </c>
      <c r="F125" s="13">
        <f t="shared" ref="F125:F126" si="75">SUM(G125:L125)</f>
        <v>2445.1</v>
      </c>
      <c r="G125" s="16">
        <v>0</v>
      </c>
      <c r="H125" s="16">
        <f>2830.7-385.6</f>
        <v>2445.1</v>
      </c>
      <c r="I125" s="16">
        <v>0</v>
      </c>
      <c r="J125" s="16">
        <v>0</v>
      </c>
      <c r="K125" s="16">
        <v>0</v>
      </c>
      <c r="L125" s="16">
        <v>0</v>
      </c>
    </row>
    <row r="126" spans="2:12" s="1" customFormat="1" ht="15.75" x14ac:dyDescent="0.25">
      <c r="B126" s="144"/>
      <c r="C126" s="147"/>
      <c r="D126" s="132"/>
      <c r="E126" s="15" t="s">
        <v>6</v>
      </c>
      <c r="F126" s="13">
        <f t="shared" si="75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s="1" customFormat="1" ht="15.75" customHeight="1" x14ac:dyDescent="0.25">
      <c r="B127" s="142" t="s">
        <v>184</v>
      </c>
      <c r="C127" s="145" t="s">
        <v>186</v>
      </c>
      <c r="D127" s="132" t="s">
        <v>1</v>
      </c>
      <c r="E127" s="12" t="s">
        <v>2</v>
      </c>
      <c r="F127" s="30">
        <f>SUM(F128:F131)</f>
        <v>2954.3</v>
      </c>
      <c r="G127" s="30">
        <f t="shared" ref="G127:L127" si="76">SUM(G128:G131)</f>
        <v>0</v>
      </c>
      <c r="H127" s="30">
        <f t="shared" si="76"/>
        <v>2954.3</v>
      </c>
      <c r="I127" s="30">
        <f t="shared" si="76"/>
        <v>0</v>
      </c>
      <c r="J127" s="30">
        <f t="shared" si="76"/>
        <v>0</v>
      </c>
      <c r="K127" s="30">
        <f t="shared" si="76"/>
        <v>0</v>
      </c>
      <c r="L127" s="30">
        <f t="shared" si="76"/>
        <v>0</v>
      </c>
    </row>
    <row r="128" spans="2:12" s="1" customFormat="1" ht="15.75" x14ac:dyDescent="0.25">
      <c r="B128" s="143"/>
      <c r="C128" s="146"/>
      <c r="D128" s="132"/>
      <c r="E128" s="15" t="s">
        <v>5</v>
      </c>
      <c r="F128" s="13">
        <f t="shared" ref="F128" si="77">SUM(G128:L128)</f>
        <v>365.8</v>
      </c>
      <c r="G128" s="16">
        <v>0</v>
      </c>
      <c r="H128" s="16">
        <f>208.1+47.9+109.8</f>
        <v>365.8</v>
      </c>
      <c r="I128" s="16">
        <v>0</v>
      </c>
      <c r="J128" s="16">
        <v>0</v>
      </c>
      <c r="K128" s="16">
        <v>0</v>
      </c>
      <c r="L128" s="16">
        <v>0</v>
      </c>
    </row>
    <row r="129" spans="2:12" s="1" customFormat="1" ht="15.75" x14ac:dyDescent="0.25">
      <c r="B129" s="143"/>
      <c r="C129" s="146"/>
      <c r="D129" s="132"/>
      <c r="E129" s="15" t="s">
        <v>3</v>
      </c>
      <c r="F129" s="13">
        <f>SUM(G129:L129)</f>
        <v>540.5</v>
      </c>
      <c r="G129" s="16">
        <v>0</v>
      </c>
      <c r="H129" s="16">
        <f>442+98.5</f>
        <v>540.5</v>
      </c>
      <c r="I129" s="16">
        <v>0</v>
      </c>
      <c r="J129" s="16">
        <v>0</v>
      </c>
      <c r="K129" s="16">
        <v>0</v>
      </c>
      <c r="L129" s="16">
        <v>0</v>
      </c>
    </row>
    <row r="130" spans="2:12" s="1" customFormat="1" ht="15.75" x14ac:dyDescent="0.25">
      <c r="B130" s="143"/>
      <c r="C130" s="146"/>
      <c r="D130" s="132"/>
      <c r="E130" s="15" t="s">
        <v>4</v>
      </c>
      <c r="F130" s="13">
        <f t="shared" ref="F130:F131" si="78">SUM(G130:L130)</f>
        <v>2048</v>
      </c>
      <c r="G130" s="16">
        <v>0</v>
      </c>
      <c r="H130" s="16">
        <f>1662.4+385.6</f>
        <v>2048</v>
      </c>
      <c r="I130" s="16">
        <v>0</v>
      </c>
      <c r="J130" s="16">
        <v>0</v>
      </c>
      <c r="K130" s="16">
        <v>0</v>
      </c>
      <c r="L130" s="16">
        <v>0</v>
      </c>
    </row>
    <row r="131" spans="2:12" s="1" customFormat="1" ht="15.75" x14ac:dyDescent="0.25">
      <c r="B131" s="144"/>
      <c r="C131" s="147"/>
      <c r="D131" s="132"/>
      <c r="E131" s="15" t="s">
        <v>6</v>
      </c>
      <c r="F131" s="13">
        <f t="shared" si="78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</row>
    <row r="132" spans="2:12" s="1" customFormat="1" ht="15.75" customHeight="1" x14ac:dyDescent="0.25">
      <c r="B132" s="150">
        <v>9</v>
      </c>
      <c r="C132" s="168" t="s">
        <v>172</v>
      </c>
      <c r="D132" s="132" t="s">
        <v>1</v>
      </c>
      <c r="E132" s="12" t="s">
        <v>2</v>
      </c>
      <c r="F132" s="30">
        <f>SUM(F133:F136)</f>
        <v>7668.9</v>
      </c>
      <c r="G132" s="30">
        <f t="shared" ref="G132:L132" si="79">SUM(G133:G136)</f>
        <v>0</v>
      </c>
      <c r="H132" s="30">
        <f t="shared" si="79"/>
        <v>812.9</v>
      </c>
      <c r="I132" s="30">
        <f>SUM(I133:I136)</f>
        <v>1412.5</v>
      </c>
      <c r="J132" s="30">
        <f t="shared" si="79"/>
        <v>1814.5</v>
      </c>
      <c r="K132" s="30">
        <f t="shared" si="79"/>
        <v>1814.5</v>
      </c>
      <c r="L132" s="30">
        <f t="shared" si="79"/>
        <v>1814.5</v>
      </c>
    </row>
    <row r="133" spans="2:12" s="1" customFormat="1" ht="15.75" x14ac:dyDescent="0.25">
      <c r="B133" s="151"/>
      <c r="C133" s="169"/>
      <c r="D133" s="132"/>
      <c r="E133" s="15" t="s">
        <v>5</v>
      </c>
      <c r="F133" s="13">
        <f t="shared" ref="F133" si="80">SUM(G133:L133)</f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</row>
    <row r="134" spans="2:12" s="1" customFormat="1" ht="15.75" x14ac:dyDescent="0.25">
      <c r="B134" s="151"/>
      <c r="C134" s="169"/>
      <c r="D134" s="132"/>
      <c r="E134" s="15" t="s">
        <v>3</v>
      </c>
      <c r="F134" s="13">
        <f>SUM(G134:L134)</f>
        <v>7668.9</v>
      </c>
      <c r="G134" s="16">
        <v>0</v>
      </c>
      <c r="H134" s="16">
        <v>812.9</v>
      </c>
      <c r="I134" s="16">
        <v>1412.5</v>
      </c>
      <c r="J134" s="16">
        <v>1814.5</v>
      </c>
      <c r="K134" s="16">
        <v>1814.5</v>
      </c>
      <c r="L134" s="16">
        <v>1814.5</v>
      </c>
    </row>
    <row r="135" spans="2:12" s="1" customFormat="1" ht="15.75" x14ac:dyDescent="0.25">
      <c r="B135" s="151"/>
      <c r="C135" s="169"/>
      <c r="D135" s="132"/>
      <c r="E135" s="15" t="s">
        <v>4</v>
      </c>
      <c r="F135" s="13">
        <f t="shared" ref="F135:F136" si="81">SUM(G135:L135)</f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</row>
    <row r="136" spans="2:12" s="1" customFormat="1" ht="15.75" x14ac:dyDescent="0.25">
      <c r="B136" s="152"/>
      <c r="C136" s="170"/>
      <c r="D136" s="132"/>
      <c r="E136" s="15" t="s">
        <v>6</v>
      </c>
      <c r="F136" s="13">
        <f t="shared" si="81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2:12" s="1" customFormat="1" ht="15.75" customHeight="1" x14ac:dyDescent="0.25">
      <c r="B137" s="150">
        <v>10</v>
      </c>
      <c r="C137" s="168" t="s">
        <v>118</v>
      </c>
      <c r="D137" s="132" t="s">
        <v>1</v>
      </c>
      <c r="E137" s="12" t="s">
        <v>2</v>
      </c>
      <c r="F137" s="30">
        <f>SUM(F138:F141)</f>
        <v>29577.599999999999</v>
      </c>
      <c r="G137" s="30">
        <f t="shared" ref="G137:L137" si="82">SUM(G138:G141)</f>
        <v>1100</v>
      </c>
      <c r="H137" s="30">
        <f t="shared" si="82"/>
        <v>1727</v>
      </c>
      <c r="I137" s="30">
        <f t="shared" si="82"/>
        <v>6538.6</v>
      </c>
      <c r="J137" s="30">
        <f t="shared" si="82"/>
        <v>5436</v>
      </c>
      <c r="K137" s="30">
        <f t="shared" si="82"/>
        <v>5992</v>
      </c>
      <c r="L137" s="30">
        <f t="shared" si="82"/>
        <v>8784</v>
      </c>
    </row>
    <row r="138" spans="2:12" s="1" customFormat="1" ht="15.75" x14ac:dyDescent="0.25">
      <c r="B138" s="151"/>
      <c r="C138" s="169"/>
      <c r="D138" s="132"/>
      <c r="E138" s="15" t="s">
        <v>5</v>
      </c>
      <c r="F138" s="13">
        <f t="shared" ref="F138" si="83">SUM(G138:L138)</f>
        <v>29577.599999999999</v>
      </c>
      <c r="G138" s="16">
        <f>300+800</f>
        <v>1100</v>
      </c>
      <c r="H138" s="16">
        <v>1727</v>
      </c>
      <c r="I138" s="16">
        <v>6538.6</v>
      </c>
      <c r="J138" s="16">
        <v>5436</v>
      </c>
      <c r="K138" s="16">
        <v>5992</v>
      </c>
      <c r="L138" s="16">
        <v>8784</v>
      </c>
    </row>
    <row r="139" spans="2:12" s="1" customFormat="1" ht="15.75" x14ac:dyDescent="0.25">
      <c r="B139" s="151"/>
      <c r="C139" s="169"/>
      <c r="D139" s="132"/>
      <c r="E139" s="15" t="s">
        <v>3</v>
      </c>
      <c r="F139" s="13">
        <f>SUM(G139:L139)</f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</row>
    <row r="140" spans="2:12" s="1" customFormat="1" ht="15.75" x14ac:dyDescent="0.25">
      <c r="B140" s="151"/>
      <c r="C140" s="169"/>
      <c r="D140" s="132"/>
      <c r="E140" s="15" t="s">
        <v>4</v>
      </c>
      <c r="F140" s="13">
        <f t="shared" ref="F140:F141" si="84">SUM(G140:L140)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2:12" s="1" customFormat="1" ht="15.75" x14ac:dyDescent="0.25">
      <c r="B141" s="152"/>
      <c r="C141" s="170"/>
      <c r="D141" s="132"/>
      <c r="E141" s="15" t="s">
        <v>6</v>
      </c>
      <c r="F141" s="13">
        <f t="shared" si="84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</row>
    <row r="142" spans="2:12" s="1" customFormat="1" ht="15.75" customHeight="1" x14ac:dyDescent="0.25">
      <c r="B142" s="150">
        <v>11</v>
      </c>
      <c r="C142" s="172" t="s">
        <v>140</v>
      </c>
      <c r="D142" s="132" t="s">
        <v>1</v>
      </c>
      <c r="E142" s="12" t="s">
        <v>2</v>
      </c>
      <c r="F142" s="30">
        <f>SUM(F143:F146)</f>
        <v>46955.5</v>
      </c>
      <c r="G142" s="30">
        <f t="shared" ref="G142:L142" si="85">SUM(G143:G146)</f>
        <v>0</v>
      </c>
      <c r="H142" s="30">
        <f t="shared" si="85"/>
        <v>4432.2</v>
      </c>
      <c r="I142" s="30">
        <f>SUM(I143:I146)</f>
        <v>3568.7</v>
      </c>
      <c r="J142" s="30">
        <f t="shared" si="85"/>
        <v>7836.7000000000007</v>
      </c>
      <c r="K142" s="30">
        <f t="shared" si="85"/>
        <v>14516.300000000001</v>
      </c>
      <c r="L142" s="30">
        <f t="shared" si="85"/>
        <v>16601.599999999999</v>
      </c>
    </row>
    <row r="143" spans="2:12" s="1" customFormat="1" ht="15.75" x14ac:dyDescent="0.25">
      <c r="B143" s="151"/>
      <c r="C143" s="173"/>
      <c r="D143" s="132"/>
      <c r="E143" s="15" t="s">
        <v>5</v>
      </c>
      <c r="F143" s="13">
        <f t="shared" ref="F143" si="86">SUM(G143:L143)</f>
        <v>17577.5</v>
      </c>
      <c r="G143" s="16">
        <f t="shared" ref="G143:I146" si="87">+G148+G153+G168+G158</f>
        <v>0</v>
      </c>
      <c r="H143" s="16">
        <f t="shared" si="87"/>
        <v>398.9</v>
      </c>
      <c r="I143" s="16">
        <f t="shared" si="87"/>
        <v>321.2</v>
      </c>
      <c r="J143" s="16">
        <f>+J148+J153+J168+J158+J163</f>
        <v>4301.6000000000004</v>
      </c>
      <c r="K143" s="16">
        <f t="shared" ref="K143:L143" si="88">+K148+K153+K168+K158+K163</f>
        <v>5769.1</v>
      </c>
      <c r="L143" s="16">
        <f t="shared" si="88"/>
        <v>6786.7</v>
      </c>
    </row>
    <row r="144" spans="2:12" s="1" customFormat="1" ht="15.75" x14ac:dyDescent="0.25">
      <c r="B144" s="151"/>
      <c r="C144" s="173"/>
      <c r="D144" s="132"/>
      <c r="E144" s="15" t="s">
        <v>3</v>
      </c>
      <c r="F144" s="13">
        <f>SUM(G144:L144)</f>
        <v>26568.2</v>
      </c>
      <c r="G144" s="16">
        <f t="shared" si="87"/>
        <v>0</v>
      </c>
      <c r="H144" s="16">
        <f t="shared" si="87"/>
        <v>3596.2</v>
      </c>
      <c r="I144" s="16">
        <f t="shared" si="87"/>
        <v>2932.9</v>
      </c>
      <c r="J144" s="16">
        <f>+J149+J154+J169+J159+J164</f>
        <v>3217.5</v>
      </c>
      <c r="K144" s="16">
        <f t="shared" ref="K144:L144" si="89">+K149+K154+K169+K159+K164</f>
        <v>7974.8000000000011</v>
      </c>
      <c r="L144" s="16">
        <f t="shared" si="89"/>
        <v>8846.7999999999993</v>
      </c>
    </row>
    <row r="145" spans="2:14" s="1" customFormat="1" ht="15.75" x14ac:dyDescent="0.25">
      <c r="B145" s="151"/>
      <c r="C145" s="173"/>
      <c r="D145" s="132"/>
      <c r="E145" s="15" t="s">
        <v>4</v>
      </c>
      <c r="F145" s="13">
        <f t="shared" ref="F145:F146" si="90">SUM(G145:L145)</f>
        <v>2809.8</v>
      </c>
      <c r="G145" s="16">
        <f t="shared" si="87"/>
        <v>0</v>
      </c>
      <c r="H145" s="16">
        <f t="shared" si="87"/>
        <v>437.1</v>
      </c>
      <c r="I145" s="16">
        <f t="shared" si="87"/>
        <v>314.60000000000002</v>
      </c>
      <c r="J145" s="16">
        <f t="shared" ref="J145:L146" si="91">+J150+J155+J170+J160</f>
        <v>317.60000000000002</v>
      </c>
      <c r="K145" s="16">
        <f t="shared" si="91"/>
        <v>772.4</v>
      </c>
      <c r="L145" s="16">
        <f t="shared" si="91"/>
        <v>968.1</v>
      </c>
    </row>
    <row r="146" spans="2:14" s="1" customFormat="1" ht="15.75" x14ac:dyDescent="0.25">
      <c r="B146" s="152"/>
      <c r="C146" s="173"/>
      <c r="D146" s="132"/>
      <c r="E146" s="15" t="s">
        <v>6</v>
      </c>
      <c r="F146" s="13">
        <f t="shared" si="90"/>
        <v>0</v>
      </c>
      <c r="G146" s="16">
        <f t="shared" si="87"/>
        <v>0</v>
      </c>
      <c r="H146" s="16">
        <f t="shared" si="87"/>
        <v>0</v>
      </c>
      <c r="I146" s="16">
        <f t="shared" si="87"/>
        <v>0</v>
      </c>
      <c r="J146" s="16">
        <f t="shared" si="91"/>
        <v>0</v>
      </c>
      <c r="K146" s="16">
        <f t="shared" si="91"/>
        <v>0</v>
      </c>
      <c r="L146" s="16">
        <f t="shared" si="91"/>
        <v>0</v>
      </c>
    </row>
    <row r="147" spans="2:14" s="1" customFormat="1" ht="25.5" hidden="1" customHeight="1" outlineLevel="1" x14ac:dyDescent="0.25">
      <c r="B147" s="171" t="s">
        <v>173</v>
      </c>
      <c r="C147" s="145" t="s">
        <v>154</v>
      </c>
      <c r="D147" s="132" t="s">
        <v>1</v>
      </c>
      <c r="E147" s="12" t="s">
        <v>2</v>
      </c>
      <c r="F147" s="30">
        <f>SUM(F148:F151)</f>
        <v>0</v>
      </c>
      <c r="G147" s="30">
        <f t="shared" ref="G147:L147" si="92">SUM(G148:G151)</f>
        <v>0</v>
      </c>
      <c r="H147" s="30">
        <f t="shared" si="92"/>
        <v>0</v>
      </c>
      <c r="I147" s="30">
        <f t="shared" si="92"/>
        <v>0</v>
      </c>
      <c r="J147" s="30">
        <f t="shared" si="92"/>
        <v>0</v>
      </c>
      <c r="K147" s="30">
        <f t="shared" si="92"/>
        <v>0</v>
      </c>
      <c r="L147" s="30">
        <f t="shared" si="92"/>
        <v>0</v>
      </c>
    </row>
    <row r="148" spans="2:14" s="1" customFormat="1" ht="25.5" hidden="1" customHeight="1" outlineLevel="1" x14ac:dyDescent="0.25">
      <c r="B148" s="143"/>
      <c r="C148" s="146"/>
      <c r="D148" s="132"/>
      <c r="E148" s="15" t="s">
        <v>5</v>
      </c>
      <c r="F148" s="13">
        <f t="shared" ref="F148" si="93">SUM(G148:L148)</f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</row>
    <row r="149" spans="2:14" s="1" customFormat="1" ht="25.5" hidden="1" customHeight="1" outlineLevel="1" x14ac:dyDescent="0.25">
      <c r="B149" s="143"/>
      <c r="C149" s="146"/>
      <c r="D149" s="132"/>
      <c r="E149" s="15" t="s">
        <v>3</v>
      </c>
      <c r="F149" s="13">
        <f>SUM(G149:L149)</f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N149" s="1" t="s">
        <v>222</v>
      </c>
    </row>
    <row r="150" spans="2:14" s="1" customFormat="1" ht="25.5" hidden="1" customHeight="1" outlineLevel="1" x14ac:dyDescent="0.25">
      <c r="B150" s="143"/>
      <c r="C150" s="146"/>
      <c r="D150" s="132"/>
      <c r="E150" s="15" t="s">
        <v>4</v>
      </c>
      <c r="F150" s="13">
        <f t="shared" ref="F150:F151" si="94">SUM(G150:L150)</f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2:14" s="1" customFormat="1" ht="25.5" hidden="1" customHeight="1" outlineLevel="1" x14ac:dyDescent="0.25">
      <c r="B151" s="144"/>
      <c r="C151" s="147"/>
      <c r="D151" s="132"/>
      <c r="E151" s="15" t="s">
        <v>6</v>
      </c>
      <c r="F151" s="13">
        <f t="shared" si="94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</row>
    <row r="152" spans="2:14" s="1" customFormat="1" ht="15.75" customHeight="1" collapsed="1" x14ac:dyDescent="0.25">
      <c r="B152" s="142" t="s">
        <v>173</v>
      </c>
      <c r="C152" s="145" t="s">
        <v>213</v>
      </c>
      <c r="D152" s="132" t="s">
        <v>1</v>
      </c>
      <c r="E152" s="12" t="s">
        <v>2</v>
      </c>
      <c r="F152" s="30">
        <f>SUM(F153:F156)</f>
        <v>32283.5</v>
      </c>
      <c r="G152" s="30">
        <f t="shared" ref="G152:L152" si="95">SUM(G153:G156)</f>
        <v>0</v>
      </c>
      <c r="H152" s="30">
        <f t="shared" si="95"/>
        <v>4432.2</v>
      </c>
      <c r="I152" s="30">
        <f>SUM(I153:I156)</f>
        <v>3568.7</v>
      </c>
      <c r="J152" s="30">
        <f t="shared" si="95"/>
        <v>3884.7</v>
      </c>
      <c r="K152" s="30">
        <f t="shared" si="95"/>
        <v>9612.3000000000011</v>
      </c>
      <c r="L152" s="30">
        <f t="shared" si="95"/>
        <v>10785.6</v>
      </c>
    </row>
    <row r="153" spans="2:14" s="1" customFormat="1" ht="23.25" customHeight="1" x14ac:dyDescent="0.25">
      <c r="B153" s="143"/>
      <c r="C153" s="146"/>
      <c r="D153" s="132"/>
      <c r="E153" s="15" t="s">
        <v>5</v>
      </c>
      <c r="F153" s="13">
        <f t="shared" ref="F153" si="96">SUM(G153:L153)</f>
        <v>2905.5</v>
      </c>
      <c r="G153" s="16">
        <v>0</v>
      </c>
      <c r="H153" s="16">
        <f>399-0.1</f>
        <v>398.9</v>
      </c>
      <c r="I153" s="16">
        <v>321.2</v>
      </c>
      <c r="J153" s="16">
        <v>349.6</v>
      </c>
      <c r="K153" s="16">
        <v>865.1</v>
      </c>
      <c r="L153" s="16">
        <v>970.7</v>
      </c>
    </row>
    <row r="154" spans="2:14" s="1" customFormat="1" ht="21" customHeight="1" x14ac:dyDescent="0.25">
      <c r="B154" s="143"/>
      <c r="C154" s="146"/>
      <c r="D154" s="132"/>
      <c r="E154" s="15" t="s">
        <v>3</v>
      </c>
      <c r="F154" s="13">
        <f>SUM(G154:L154)</f>
        <v>26568.2</v>
      </c>
      <c r="G154" s="16">
        <v>0</v>
      </c>
      <c r="H154" s="16">
        <v>3596.2</v>
      </c>
      <c r="I154" s="16">
        <v>2932.9</v>
      </c>
      <c r="J154" s="16">
        <f>3535.1-J155</f>
        <v>3217.5</v>
      </c>
      <c r="K154" s="16">
        <f>8747.2-K155</f>
        <v>7974.8000000000011</v>
      </c>
      <c r="L154" s="16">
        <f>9814.9-L155</f>
        <v>8846.7999999999993</v>
      </c>
    </row>
    <row r="155" spans="2:14" s="1" customFormat="1" ht="29.25" customHeight="1" x14ac:dyDescent="0.25">
      <c r="B155" s="143"/>
      <c r="C155" s="146"/>
      <c r="D155" s="132"/>
      <c r="E155" s="15" t="s">
        <v>4</v>
      </c>
      <c r="F155" s="13">
        <f t="shared" ref="F155:F156" si="97">SUM(G155:L155)</f>
        <v>2809.8</v>
      </c>
      <c r="G155" s="16">
        <v>0</v>
      </c>
      <c r="H155" s="16">
        <v>437.1</v>
      </c>
      <c r="I155" s="16">
        <v>314.60000000000002</v>
      </c>
      <c r="J155" s="16">
        <v>317.60000000000002</v>
      </c>
      <c r="K155" s="16">
        <v>772.4</v>
      </c>
      <c r="L155" s="16">
        <v>968.1</v>
      </c>
    </row>
    <row r="156" spans="2:14" s="1" customFormat="1" ht="38.25" customHeight="1" x14ac:dyDescent="0.25">
      <c r="B156" s="144"/>
      <c r="C156" s="147"/>
      <c r="D156" s="132"/>
      <c r="E156" s="15" t="s">
        <v>6</v>
      </c>
      <c r="F156" s="13">
        <f t="shared" si="97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</row>
    <row r="157" spans="2:14" s="1" customFormat="1" ht="15.75" hidden="1" customHeight="1" outlineLevel="1" x14ac:dyDescent="0.25">
      <c r="B157" s="142" t="s">
        <v>174</v>
      </c>
      <c r="C157" s="145" t="s">
        <v>155</v>
      </c>
      <c r="D157" s="132" t="s">
        <v>1</v>
      </c>
      <c r="E157" s="12" t="s">
        <v>2</v>
      </c>
      <c r="F157" s="30">
        <f>SUM(F158:F161)</f>
        <v>0</v>
      </c>
      <c r="G157" s="30">
        <f t="shared" ref="G157:L157" si="98">SUM(G158:G161)</f>
        <v>0</v>
      </c>
      <c r="H157" s="30">
        <f t="shared" si="98"/>
        <v>0</v>
      </c>
      <c r="I157" s="30">
        <f t="shared" si="98"/>
        <v>0</v>
      </c>
      <c r="J157" s="30">
        <f t="shared" si="98"/>
        <v>0</v>
      </c>
      <c r="K157" s="30">
        <f t="shared" si="98"/>
        <v>0</v>
      </c>
      <c r="L157" s="30">
        <f t="shared" si="98"/>
        <v>0</v>
      </c>
    </row>
    <row r="158" spans="2:14" s="1" customFormat="1" ht="15.75" hidden="1" outlineLevel="1" x14ac:dyDescent="0.25">
      <c r="B158" s="143"/>
      <c r="C158" s="146"/>
      <c r="D158" s="132"/>
      <c r="E158" s="15" t="s">
        <v>5</v>
      </c>
      <c r="F158" s="13">
        <f t="shared" ref="F158" si="99">SUM(G158:L158)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</row>
    <row r="159" spans="2:14" s="1" customFormat="1" ht="15.75" hidden="1" outlineLevel="1" x14ac:dyDescent="0.25">
      <c r="B159" s="143"/>
      <c r="C159" s="146"/>
      <c r="D159" s="132"/>
      <c r="E159" s="15" t="s">
        <v>3</v>
      </c>
      <c r="F159" s="13">
        <f>SUM(G159:L159)</f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N159" s="1" t="s">
        <v>223</v>
      </c>
    </row>
    <row r="160" spans="2:14" s="1" customFormat="1" ht="15.75" hidden="1" outlineLevel="1" x14ac:dyDescent="0.25">
      <c r="B160" s="143"/>
      <c r="C160" s="146"/>
      <c r="D160" s="132"/>
      <c r="E160" s="15" t="s">
        <v>4</v>
      </c>
      <c r="F160" s="13">
        <f t="shared" ref="F160:F161" si="100">SUM(G160:L160)</f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</row>
    <row r="161" spans="2:14" s="1" customFormat="1" ht="15.75" hidden="1" outlineLevel="1" x14ac:dyDescent="0.25">
      <c r="B161" s="144"/>
      <c r="C161" s="147"/>
      <c r="D161" s="132"/>
      <c r="E161" s="15" t="s">
        <v>6</v>
      </c>
      <c r="F161" s="13">
        <f t="shared" si="100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</row>
    <row r="162" spans="2:14" s="1" customFormat="1" ht="15.75" collapsed="1" x14ac:dyDescent="0.25">
      <c r="B162" s="142" t="s">
        <v>224</v>
      </c>
      <c r="C162" s="145" t="s">
        <v>225</v>
      </c>
      <c r="D162" s="132" t="s">
        <v>1</v>
      </c>
      <c r="E162" s="12" t="s">
        <v>2</v>
      </c>
      <c r="F162" s="30">
        <f>SUM(F163:F166)</f>
        <v>14672</v>
      </c>
      <c r="G162" s="30">
        <f t="shared" ref="G162:L162" si="101">SUM(G163:G166)</f>
        <v>0</v>
      </c>
      <c r="H162" s="30">
        <f t="shared" si="101"/>
        <v>0</v>
      </c>
      <c r="I162" s="30">
        <f t="shared" si="101"/>
        <v>0</v>
      </c>
      <c r="J162" s="30">
        <f t="shared" si="101"/>
        <v>3952</v>
      </c>
      <c r="K162" s="30">
        <f t="shared" si="101"/>
        <v>4904</v>
      </c>
      <c r="L162" s="30">
        <f t="shared" si="101"/>
        <v>5816</v>
      </c>
    </row>
    <row r="163" spans="2:14" s="1" customFormat="1" ht="15.75" x14ac:dyDescent="0.25">
      <c r="B163" s="143"/>
      <c r="C163" s="146"/>
      <c r="D163" s="132"/>
      <c r="E163" s="15" t="s">
        <v>5</v>
      </c>
      <c r="F163" s="13">
        <f t="shared" ref="F163" si="102">SUM(G163:L163)</f>
        <v>14672</v>
      </c>
      <c r="G163" s="16">
        <v>0</v>
      </c>
      <c r="H163" s="16">
        <v>0</v>
      </c>
      <c r="I163" s="16">
        <v>0</v>
      </c>
      <c r="J163" s="16">
        <v>3952</v>
      </c>
      <c r="K163" s="16">
        <v>4904</v>
      </c>
      <c r="L163" s="16">
        <v>5816</v>
      </c>
    </row>
    <row r="164" spans="2:14" s="1" customFormat="1" ht="15.75" x14ac:dyDescent="0.25">
      <c r="B164" s="143"/>
      <c r="C164" s="146"/>
      <c r="D164" s="132"/>
      <c r="E164" s="15" t="s">
        <v>3</v>
      </c>
      <c r="F164" s="13">
        <f>SUM(G164:L164)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</row>
    <row r="165" spans="2:14" s="1" customFormat="1" ht="15.75" x14ac:dyDescent="0.25">
      <c r="B165" s="143"/>
      <c r="C165" s="146"/>
      <c r="D165" s="132"/>
      <c r="E165" s="15" t="s">
        <v>4</v>
      </c>
      <c r="F165" s="13">
        <f t="shared" ref="F165:F166" si="103">SUM(G165:L165)</f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</row>
    <row r="166" spans="2:14" s="1" customFormat="1" ht="15.75" x14ac:dyDescent="0.25">
      <c r="B166" s="144"/>
      <c r="C166" s="147"/>
      <c r="D166" s="132"/>
      <c r="E166" s="15" t="s">
        <v>6</v>
      </c>
      <c r="F166" s="13">
        <f t="shared" si="103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4" s="1" customFormat="1" ht="19.5" hidden="1" customHeight="1" outlineLevel="1" x14ac:dyDescent="0.25">
      <c r="B167" s="142" t="s">
        <v>207</v>
      </c>
      <c r="C167" s="145" t="s">
        <v>208</v>
      </c>
      <c r="D167" s="132" t="s">
        <v>1</v>
      </c>
      <c r="E167" s="12" t="s">
        <v>2</v>
      </c>
      <c r="F167" s="30">
        <f>SUM(F168:F171)</f>
        <v>0</v>
      </c>
      <c r="G167" s="30">
        <f t="shared" ref="G167:L167" si="104">SUM(G168:G171)</f>
        <v>0</v>
      </c>
      <c r="H167" s="30">
        <f t="shared" si="104"/>
        <v>0</v>
      </c>
      <c r="I167" s="30">
        <f t="shared" si="104"/>
        <v>0</v>
      </c>
      <c r="J167" s="30">
        <f t="shared" si="104"/>
        <v>0</v>
      </c>
      <c r="K167" s="30">
        <f t="shared" si="104"/>
        <v>0</v>
      </c>
      <c r="L167" s="30">
        <f t="shared" si="104"/>
        <v>0</v>
      </c>
    </row>
    <row r="168" spans="2:14" s="1" customFormat="1" ht="19.5" hidden="1" customHeight="1" outlineLevel="1" x14ac:dyDescent="0.25">
      <c r="B168" s="143"/>
      <c r="C168" s="146"/>
      <c r="D168" s="132"/>
      <c r="E168" s="15" t="s">
        <v>5</v>
      </c>
      <c r="F168" s="13">
        <f t="shared" ref="F168" si="105">SUM(G168:L168)</f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</row>
    <row r="169" spans="2:14" s="1" customFormat="1" ht="19.5" hidden="1" customHeight="1" outlineLevel="1" x14ac:dyDescent="0.25">
      <c r="B169" s="143"/>
      <c r="C169" s="146"/>
      <c r="D169" s="132"/>
      <c r="E169" s="15" t="s">
        <v>3</v>
      </c>
      <c r="F169" s="13">
        <f>SUM(G169:L169)</f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N169" s="1" t="s">
        <v>226</v>
      </c>
    </row>
    <row r="170" spans="2:14" s="1" customFormat="1" ht="19.5" hidden="1" customHeight="1" outlineLevel="1" x14ac:dyDescent="0.25">
      <c r="B170" s="143"/>
      <c r="C170" s="146"/>
      <c r="D170" s="132"/>
      <c r="E170" s="15" t="s">
        <v>4</v>
      </c>
      <c r="F170" s="13">
        <f t="shared" ref="F170:F171" si="106">SUM(G170:L170)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4" s="1" customFormat="1" ht="19.5" hidden="1" customHeight="1" outlineLevel="1" x14ac:dyDescent="0.25">
      <c r="B171" s="144"/>
      <c r="C171" s="147"/>
      <c r="D171" s="132"/>
      <c r="E171" s="15" t="s">
        <v>6</v>
      </c>
      <c r="F171" s="13">
        <f t="shared" si="106"/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</row>
    <row r="172" spans="2:14" s="1" customFormat="1" ht="18.75" customHeight="1" collapsed="1" x14ac:dyDescent="0.25">
      <c r="B172" s="150">
        <v>12</v>
      </c>
      <c r="C172" s="168" t="s">
        <v>201</v>
      </c>
      <c r="D172" s="132" t="s">
        <v>1</v>
      </c>
      <c r="E172" s="12" t="s">
        <v>2</v>
      </c>
      <c r="F172" s="30">
        <f>SUM(F173:F176)</f>
        <v>157175</v>
      </c>
      <c r="G172" s="30">
        <f t="shared" ref="G172:L172" si="107">SUM(G173:G176)</f>
        <v>0</v>
      </c>
      <c r="H172" s="30">
        <f t="shared" si="107"/>
        <v>15205.2</v>
      </c>
      <c r="I172" s="30">
        <f t="shared" si="107"/>
        <v>35027.800000000003</v>
      </c>
      <c r="J172" s="30">
        <f t="shared" si="107"/>
        <v>35089.600000000006</v>
      </c>
      <c r="K172" s="30">
        <f t="shared" si="107"/>
        <v>35413.699999999997</v>
      </c>
      <c r="L172" s="30">
        <f t="shared" si="107"/>
        <v>36438.699999999997</v>
      </c>
    </row>
    <row r="173" spans="2:14" s="1" customFormat="1" ht="18.75" customHeight="1" x14ac:dyDescent="0.25">
      <c r="B173" s="151"/>
      <c r="C173" s="169"/>
      <c r="D173" s="132"/>
      <c r="E173" s="15" t="s">
        <v>5</v>
      </c>
      <c r="F173" s="13">
        <f t="shared" ref="F173" si="108">SUM(G173:L173)</f>
        <v>11017</v>
      </c>
      <c r="G173" s="16">
        <v>0</v>
      </c>
      <c r="H173" s="16">
        <v>1064.4000000000001</v>
      </c>
      <c r="I173" s="16">
        <f>3221.8-769.8</f>
        <v>2452</v>
      </c>
      <c r="J173" s="16">
        <v>2456.3000000000002</v>
      </c>
      <c r="K173" s="16">
        <f>3504-1025</f>
        <v>2479</v>
      </c>
      <c r="L173" s="16">
        <v>2565.3000000000002</v>
      </c>
    </row>
    <row r="174" spans="2:14" s="1" customFormat="1" ht="18.75" customHeight="1" x14ac:dyDescent="0.25">
      <c r="B174" s="151"/>
      <c r="C174" s="169"/>
      <c r="D174" s="132"/>
      <c r="E174" s="15" t="s">
        <v>3</v>
      </c>
      <c r="F174" s="13">
        <f>SUM(G174:L174)</f>
        <v>34671</v>
      </c>
      <c r="G174" s="16">
        <v>0</v>
      </c>
      <c r="H174" s="16">
        <v>2969.6</v>
      </c>
      <c r="I174" s="16">
        <v>6840.9</v>
      </c>
      <c r="J174" s="16">
        <v>8158.4</v>
      </c>
      <c r="K174" s="16">
        <v>8233.7000000000007</v>
      </c>
      <c r="L174" s="16">
        <v>8468.4</v>
      </c>
    </row>
    <row r="175" spans="2:14" s="1" customFormat="1" ht="18.75" customHeight="1" x14ac:dyDescent="0.25">
      <c r="B175" s="151"/>
      <c r="C175" s="169"/>
      <c r="D175" s="132"/>
      <c r="E175" s="15" t="s">
        <v>4</v>
      </c>
      <c r="F175" s="13">
        <f t="shared" ref="F175:F176" si="109">SUM(G175:L175)</f>
        <v>111487</v>
      </c>
      <c r="G175" s="16">
        <v>0</v>
      </c>
      <c r="H175" s="16">
        <v>11171.2</v>
      </c>
      <c r="I175" s="16">
        <v>25734.9</v>
      </c>
      <c r="J175" s="16">
        <v>24474.9</v>
      </c>
      <c r="K175" s="16">
        <v>24701</v>
      </c>
      <c r="L175" s="16">
        <v>25405</v>
      </c>
    </row>
    <row r="176" spans="2:14" s="1" customFormat="1" ht="18.75" customHeight="1" x14ac:dyDescent="0.25">
      <c r="B176" s="152"/>
      <c r="C176" s="170"/>
      <c r="D176" s="132"/>
      <c r="E176" s="15" t="s">
        <v>6</v>
      </c>
      <c r="F176" s="13">
        <f t="shared" si="109"/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</row>
    <row r="177" spans="2:12" s="1" customFormat="1" ht="19.5" customHeight="1" x14ac:dyDescent="0.25">
      <c r="B177" s="150">
        <v>13</v>
      </c>
      <c r="C177" s="168" t="s">
        <v>202</v>
      </c>
      <c r="D177" s="132" t="s">
        <v>1</v>
      </c>
      <c r="E177" s="12" t="s">
        <v>2</v>
      </c>
      <c r="F177" s="30">
        <f>SUM(F178:F181)</f>
        <v>284939.5</v>
      </c>
      <c r="G177" s="30">
        <f t="shared" ref="G177:L177" si="110">SUM(G178:G181)</f>
        <v>0</v>
      </c>
      <c r="H177" s="30">
        <f t="shared" si="110"/>
        <v>21467.4</v>
      </c>
      <c r="I177" s="30">
        <f t="shared" si="110"/>
        <v>64402.1</v>
      </c>
      <c r="J177" s="30">
        <f t="shared" si="110"/>
        <v>65860</v>
      </c>
      <c r="K177" s="30">
        <f t="shared" si="110"/>
        <v>65860</v>
      </c>
      <c r="L177" s="30">
        <f t="shared" si="110"/>
        <v>67350</v>
      </c>
    </row>
    <row r="178" spans="2:12" s="1" customFormat="1" ht="19.5" customHeight="1" x14ac:dyDescent="0.25">
      <c r="B178" s="151"/>
      <c r="C178" s="169"/>
      <c r="D178" s="132"/>
      <c r="E178" s="15" t="s">
        <v>5</v>
      </c>
      <c r="F178" s="13">
        <f t="shared" ref="F178" si="111">SUM(G178:L178)</f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s="1" customFormat="1" ht="19.5" customHeight="1" x14ac:dyDescent="0.25">
      <c r="B179" s="151"/>
      <c r="C179" s="169"/>
      <c r="D179" s="132"/>
      <c r="E179" s="15" t="s">
        <v>3</v>
      </c>
      <c r="F179" s="13">
        <f>SUM(G179:L179)</f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</row>
    <row r="180" spans="2:12" s="1" customFormat="1" ht="19.5" customHeight="1" x14ac:dyDescent="0.25">
      <c r="B180" s="151"/>
      <c r="C180" s="169"/>
      <c r="D180" s="132"/>
      <c r="E180" s="15" t="s">
        <v>4</v>
      </c>
      <c r="F180" s="13">
        <f t="shared" ref="F180:F181" si="112">SUM(G180:L180)</f>
        <v>284939.5</v>
      </c>
      <c r="G180" s="16">
        <v>0</v>
      </c>
      <c r="H180" s="16">
        <v>21467.4</v>
      </c>
      <c r="I180" s="16">
        <v>64402.1</v>
      </c>
      <c r="J180" s="16">
        <v>65860</v>
      </c>
      <c r="K180" s="16">
        <v>65860</v>
      </c>
      <c r="L180" s="16">
        <v>67350</v>
      </c>
    </row>
    <row r="181" spans="2:12" s="1" customFormat="1" ht="19.5" customHeight="1" x14ac:dyDescent="0.25">
      <c r="B181" s="152"/>
      <c r="C181" s="170"/>
      <c r="D181" s="132"/>
      <c r="E181" s="15" t="s">
        <v>6</v>
      </c>
      <c r="F181" s="13">
        <f t="shared" si="112"/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</row>
    <row r="182" spans="2:12" s="1" customFormat="1" ht="15.75" customHeight="1" x14ac:dyDescent="0.25">
      <c r="B182" s="150">
        <v>14</v>
      </c>
      <c r="C182" s="168" t="s">
        <v>209</v>
      </c>
      <c r="D182" s="132" t="s">
        <v>1</v>
      </c>
      <c r="E182" s="12" t="s">
        <v>2</v>
      </c>
      <c r="F182" s="30">
        <f>SUM(F183:F186)</f>
        <v>4417</v>
      </c>
      <c r="G182" s="30">
        <f t="shared" ref="G182:L182" si="113">SUM(G183:G186)</f>
        <v>0</v>
      </c>
      <c r="H182" s="30">
        <f t="shared" si="113"/>
        <v>0</v>
      </c>
      <c r="I182" s="30">
        <f t="shared" si="113"/>
        <v>0</v>
      </c>
      <c r="J182" s="30">
        <f t="shared" si="113"/>
        <v>1200</v>
      </c>
      <c r="K182" s="30">
        <f t="shared" si="113"/>
        <v>1321</v>
      </c>
      <c r="L182" s="30">
        <f t="shared" si="113"/>
        <v>1896</v>
      </c>
    </row>
    <row r="183" spans="2:12" s="1" customFormat="1" ht="15.75" x14ac:dyDescent="0.25">
      <c r="B183" s="151"/>
      <c r="C183" s="169"/>
      <c r="D183" s="132"/>
      <c r="E183" s="15" t="s">
        <v>5</v>
      </c>
      <c r="F183" s="13">
        <f t="shared" ref="F183" si="114">SUM(G183:L183)</f>
        <v>4417</v>
      </c>
      <c r="G183" s="16">
        <v>0</v>
      </c>
      <c r="H183" s="16">
        <v>0</v>
      </c>
      <c r="I183" s="16">
        <v>0</v>
      </c>
      <c r="J183" s="16">
        <v>1200</v>
      </c>
      <c r="K183" s="16">
        <v>1321</v>
      </c>
      <c r="L183" s="16">
        <v>1896</v>
      </c>
    </row>
    <row r="184" spans="2:12" s="1" customFormat="1" ht="15.75" x14ac:dyDescent="0.25">
      <c r="B184" s="151"/>
      <c r="C184" s="169"/>
      <c r="D184" s="132"/>
      <c r="E184" s="15" t="s">
        <v>3</v>
      </c>
      <c r="F184" s="13">
        <f>SUM(G184:L184)</f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</row>
    <row r="185" spans="2:12" s="1" customFormat="1" ht="15.75" x14ac:dyDescent="0.25">
      <c r="B185" s="151"/>
      <c r="C185" s="169"/>
      <c r="D185" s="132"/>
      <c r="E185" s="15" t="s">
        <v>4</v>
      </c>
      <c r="F185" s="13">
        <f t="shared" ref="F185:F186" si="115">SUM(G185:L185)</f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</row>
    <row r="186" spans="2:12" s="1" customFormat="1" ht="15.75" x14ac:dyDescent="0.25">
      <c r="B186" s="152"/>
      <c r="C186" s="170"/>
      <c r="D186" s="132"/>
      <c r="E186" s="15" t="s">
        <v>6</v>
      </c>
      <c r="F186" s="13">
        <f t="shared" si="115"/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s="1" customFormat="1" ht="15.75" customHeight="1" x14ac:dyDescent="0.25">
      <c r="B187" s="150">
        <v>15</v>
      </c>
      <c r="C187" s="168" t="s">
        <v>210</v>
      </c>
      <c r="D187" s="132" t="s">
        <v>1</v>
      </c>
      <c r="E187" s="12" t="s">
        <v>2</v>
      </c>
      <c r="F187" s="30">
        <f>SUM(F188:F191)</f>
        <v>0</v>
      </c>
      <c r="G187" s="30">
        <f t="shared" ref="G187:L187" si="116">SUM(G188:G191)</f>
        <v>0</v>
      </c>
      <c r="H187" s="30">
        <f t="shared" si="116"/>
        <v>0</v>
      </c>
      <c r="I187" s="30">
        <f t="shared" si="116"/>
        <v>0</v>
      </c>
      <c r="J187" s="30">
        <f t="shared" si="116"/>
        <v>0</v>
      </c>
      <c r="K187" s="30">
        <f t="shared" si="116"/>
        <v>0</v>
      </c>
      <c r="L187" s="30">
        <f t="shared" si="116"/>
        <v>0</v>
      </c>
    </row>
    <row r="188" spans="2:12" s="1" customFormat="1" ht="15.75" x14ac:dyDescent="0.25">
      <c r="B188" s="151"/>
      <c r="C188" s="169"/>
      <c r="D188" s="132"/>
      <c r="E188" s="15" t="s">
        <v>5</v>
      </c>
      <c r="F188" s="13">
        <f t="shared" ref="F188" si="117">SUM(G188:L188)</f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</row>
    <row r="189" spans="2:12" s="1" customFormat="1" ht="15.75" x14ac:dyDescent="0.25">
      <c r="B189" s="151"/>
      <c r="C189" s="169"/>
      <c r="D189" s="132"/>
      <c r="E189" s="15" t="s">
        <v>3</v>
      </c>
      <c r="F189" s="13">
        <f>SUM(G189:L189)</f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</row>
    <row r="190" spans="2:12" s="1" customFormat="1" ht="15.75" x14ac:dyDescent="0.25">
      <c r="B190" s="151"/>
      <c r="C190" s="169"/>
      <c r="D190" s="132"/>
      <c r="E190" s="15" t="s">
        <v>4</v>
      </c>
      <c r="F190" s="13">
        <f t="shared" ref="F190:F191" si="118">SUM(G190:L190)</f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s="1" customFormat="1" ht="15.75" x14ac:dyDescent="0.25">
      <c r="B191" s="152"/>
      <c r="C191" s="170"/>
      <c r="D191" s="132"/>
      <c r="E191" s="15" t="s">
        <v>6</v>
      </c>
      <c r="F191" s="13">
        <f t="shared" si="118"/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</row>
    <row r="192" spans="2:12" s="1" customFormat="1" ht="22.5" customHeight="1" x14ac:dyDescent="0.25">
      <c r="B192" s="150">
        <v>16</v>
      </c>
      <c r="C192" s="168" t="s">
        <v>253</v>
      </c>
      <c r="D192" s="132" t="s">
        <v>1</v>
      </c>
      <c r="E192" s="12" t="s">
        <v>2</v>
      </c>
      <c r="F192" s="30">
        <f>SUM(F193:F196)</f>
        <v>659.3</v>
      </c>
      <c r="G192" s="30">
        <f t="shared" ref="G192:L192" si="119">SUM(G193:G196)</f>
        <v>0</v>
      </c>
      <c r="H192" s="30">
        <f t="shared" si="119"/>
        <v>0</v>
      </c>
      <c r="I192" s="30">
        <f t="shared" si="119"/>
        <v>659.3</v>
      </c>
      <c r="J192" s="30">
        <f t="shared" si="119"/>
        <v>0</v>
      </c>
      <c r="K192" s="30">
        <f t="shared" si="119"/>
        <v>0</v>
      </c>
      <c r="L192" s="30">
        <f t="shared" si="119"/>
        <v>0</v>
      </c>
    </row>
    <row r="193" spans="2:14" s="1" customFormat="1" ht="22.5" customHeight="1" x14ac:dyDescent="0.25">
      <c r="B193" s="151"/>
      <c r="C193" s="169"/>
      <c r="D193" s="132"/>
      <c r="E193" s="15" t="s">
        <v>5</v>
      </c>
      <c r="F193" s="13">
        <f t="shared" ref="F193" si="120">SUM(G193:L193)</f>
        <v>60.3</v>
      </c>
      <c r="G193" s="86">
        <v>0</v>
      </c>
      <c r="H193" s="86">
        <v>0</v>
      </c>
      <c r="I193" s="86">
        <v>60.3</v>
      </c>
      <c r="J193" s="86">
        <v>0</v>
      </c>
      <c r="K193" s="86">
        <v>0</v>
      </c>
      <c r="L193" s="86">
        <v>0</v>
      </c>
    </row>
    <row r="194" spans="2:14" s="1" customFormat="1" ht="22.5" customHeight="1" x14ac:dyDescent="0.25">
      <c r="B194" s="151"/>
      <c r="C194" s="169"/>
      <c r="D194" s="132"/>
      <c r="E194" s="15" t="s">
        <v>3</v>
      </c>
      <c r="F194" s="13">
        <f>SUM(G194:L194)</f>
        <v>599</v>
      </c>
      <c r="G194" s="86">
        <v>0</v>
      </c>
      <c r="H194" s="86">
        <v>0</v>
      </c>
      <c r="I194" s="86">
        <v>599</v>
      </c>
      <c r="J194" s="86">
        <v>0</v>
      </c>
      <c r="K194" s="86">
        <v>0</v>
      </c>
      <c r="L194" s="86">
        <v>0</v>
      </c>
    </row>
    <row r="195" spans="2:14" s="1" customFormat="1" ht="22.5" customHeight="1" x14ac:dyDescent="0.25">
      <c r="B195" s="151"/>
      <c r="C195" s="169"/>
      <c r="D195" s="132"/>
      <c r="E195" s="15" t="s">
        <v>4</v>
      </c>
      <c r="F195" s="13">
        <f t="shared" ref="F195:F196" si="121">SUM(G195:L195)</f>
        <v>0</v>
      </c>
      <c r="G195" s="86">
        <v>0</v>
      </c>
      <c r="H195" s="86">
        <v>0</v>
      </c>
      <c r="I195" s="86">
        <v>0</v>
      </c>
      <c r="J195" s="86">
        <v>0</v>
      </c>
      <c r="K195" s="86">
        <v>0</v>
      </c>
      <c r="L195" s="86">
        <v>0</v>
      </c>
    </row>
    <row r="196" spans="2:14" s="1" customFormat="1" ht="22.5" customHeight="1" x14ac:dyDescent="0.25">
      <c r="B196" s="152"/>
      <c r="C196" s="170"/>
      <c r="D196" s="132"/>
      <c r="E196" s="15" t="s">
        <v>6</v>
      </c>
      <c r="F196" s="13">
        <f t="shared" si="121"/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0</v>
      </c>
      <c r="L196" s="86">
        <v>0</v>
      </c>
    </row>
    <row r="197" spans="2:14" s="1" customFormat="1" ht="18.75" customHeight="1" x14ac:dyDescent="0.25">
      <c r="B197" s="150">
        <v>17</v>
      </c>
      <c r="C197" s="168" t="s">
        <v>220</v>
      </c>
      <c r="D197" s="132" t="s">
        <v>1</v>
      </c>
      <c r="E197" s="12" t="s">
        <v>2</v>
      </c>
      <c r="F197" s="30">
        <f>SUM(F198:F201)</f>
        <v>1260</v>
      </c>
      <c r="G197" s="30">
        <f t="shared" ref="G197:L197" si="122">SUM(G198:G201)</f>
        <v>0</v>
      </c>
      <c r="H197" s="30">
        <f t="shared" si="122"/>
        <v>0</v>
      </c>
      <c r="I197" s="30">
        <f t="shared" si="122"/>
        <v>0</v>
      </c>
      <c r="J197" s="30">
        <f t="shared" si="122"/>
        <v>0</v>
      </c>
      <c r="K197" s="30">
        <f t="shared" si="122"/>
        <v>0</v>
      </c>
      <c r="L197" s="30">
        <f t="shared" si="122"/>
        <v>1260</v>
      </c>
    </row>
    <row r="198" spans="2:14" s="1" customFormat="1" ht="18.75" customHeight="1" x14ac:dyDescent="0.25">
      <c r="B198" s="151"/>
      <c r="C198" s="169"/>
      <c r="D198" s="132"/>
      <c r="E198" s="15" t="s">
        <v>5</v>
      </c>
      <c r="F198" s="13">
        <f t="shared" ref="F198" si="123">SUM(G198:L198)</f>
        <v>113.4</v>
      </c>
      <c r="G198" s="86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f>54.1+59.3</f>
        <v>113.4</v>
      </c>
    </row>
    <row r="199" spans="2:14" s="1" customFormat="1" ht="18.75" customHeight="1" x14ac:dyDescent="0.25">
      <c r="B199" s="151"/>
      <c r="C199" s="169"/>
      <c r="D199" s="132"/>
      <c r="E199" s="15" t="s">
        <v>3</v>
      </c>
      <c r="F199" s="13">
        <f>SUM(G199:L199)</f>
        <v>1146.5999999999999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86">
        <f>546.6+600</f>
        <v>1146.5999999999999</v>
      </c>
    </row>
    <row r="200" spans="2:14" s="1" customFormat="1" ht="18.75" customHeight="1" x14ac:dyDescent="0.25">
      <c r="B200" s="151"/>
      <c r="C200" s="169"/>
      <c r="D200" s="132"/>
      <c r="E200" s="15" t="s">
        <v>4</v>
      </c>
      <c r="F200" s="13">
        <f t="shared" ref="F200:F201" si="124">SUM(G200:L200)</f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86">
        <v>0</v>
      </c>
    </row>
    <row r="201" spans="2:14" s="1" customFormat="1" ht="18.75" customHeight="1" x14ac:dyDescent="0.25">
      <c r="B201" s="152"/>
      <c r="C201" s="170"/>
      <c r="D201" s="132"/>
      <c r="E201" s="15" t="s">
        <v>6</v>
      </c>
      <c r="F201" s="13">
        <f t="shared" si="124"/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</row>
    <row r="202" spans="2:14" s="40" customFormat="1" ht="17.25" customHeight="1" x14ac:dyDescent="0.2">
      <c r="B202" s="150"/>
      <c r="C202" s="150"/>
      <c r="D202" s="132" t="s">
        <v>1</v>
      </c>
      <c r="E202" s="38" t="s">
        <v>2</v>
      </c>
      <c r="F202" s="39">
        <f>SUM(F203:F206)</f>
        <v>6231194.6000000015</v>
      </c>
      <c r="G202" s="39">
        <f t="shared" ref="G202:L202" si="125">SUM(G203:G206)</f>
        <v>855355.2</v>
      </c>
      <c r="H202" s="39">
        <f t="shared" si="125"/>
        <v>965004</v>
      </c>
      <c r="I202" s="39">
        <f>SUM(I203:I206)</f>
        <v>1182508.2000000002</v>
      </c>
      <c r="J202" s="39">
        <f>SUM(J203:J206)</f>
        <v>1275017.5</v>
      </c>
      <c r="K202" s="39">
        <f t="shared" si="125"/>
        <v>962693.29999999993</v>
      </c>
      <c r="L202" s="39">
        <f t="shared" si="125"/>
        <v>990616.4</v>
      </c>
    </row>
    <row r="203" spans="2:14" s="40" customFormat="1" ht="17.25" customHeight="1" x14ac:dyDescent="0.2">
      <c r="B203" s="151"/>
      <c r="C203" s="151"/>
      <c r="D203" s="132"/>
      <c r="E203" s="38" t="s">
        <v>5</v>
      </c>
      <c r="F203" s="41">
        <f>SUM(G203:L203)</f>
        <v>904323.10000000009</v>
      </c>
      <c r="G203" s="42">
        <f t="shared" ref="G203:H206" si="126">G18+G58+G78+G93+G98+G138+G143+G133+G113+G118+G108+G173+G178+G183+G188</f>
        <v>135510.6</v>
      </c>
      <c r="H203" s="42">
        <f t="shared" si="126"/>
        <v>168532.80000000005</v>
      </c>
      <c r="I203" s="42">
        <f>I18+I58+I78+I93+I98+I138+I143+I133+I113+I118+I108+I173+I178+I183+I188+I193</f>
        <v>212747.60000000003</v>
      </c>
      <c r="J203" s="42">
        <f t="shared" ref="J203:K206" si="127">J18+J58+J78+J93+J98+J138+J143+J133+J113+J118+J108+J173+J178+J183+J188</f>
        <v>212518.80000000002</v>
      </c>
      <c r="K203" s="42">
        <f t="shared" si="127"/>
        <v>76567.799999999988</v>
      </c>
      <c r="L203" s="42">
        <f>L18+L58+L78+L93+L98+L138+L143+L133+L113+L118+L108+L173+L178+L183+L188+L198</f>
        <v>98445.499999999985</v>
      </c>
      <c r="N203" s="40">
        <f>212864.6-212777.6</f>
        <v>87</v>
      </c>
    </row>
    <row r="204" spans="2:14" s="40" customFormat="1" ht="17.25" customHeight="1" x14ac:dyDescent="0.2">
      <c r="B204" s="151"/>
      <c r="C204" s="151"/>
      <c r="D204" s="132"/>
      <c r="E204" s="38" t="s">
        <v>3</v>
      </c>
      <c r="F204" s="41">
        <f>SUM(G204:L204)</f>
        <v>4902298.1000000006</v>
      </c>
      <c r="G204" s="42">
        <f t="shared" si="126"/>
        <v>717608</v>
      </c>
      <c r="H204" s="42">
        <f t="shared" si="126"/>
        <v>753788.7</v>
      </c>
      <c r="I204" s="42">
        <f>I19+I59+I79+I94+I99+I139+I144+I134+I114+I119+I109+I174+I179+I184+I189+I194</f>
        <v>874165.30000000016</v>
      </c>
      <c r="J204" s="42">
        <f t="shared" si="127"/>
        <v>963496.20000000007</v>
      </c>
      <c r="K204" s="42">
        <f t="shared" si="127"/>
        <v>794792.1</v>
      </c>
      <c r="L204" s="42">
        <f>L19+L59+L79+L94+L99+L139+L144+L134+L114+L119+L109+L174+L179+L184+L189+L199</f>
        <v>798447.8</v>
      </c>
    </row>
    <row r="205" spans="2:14" s="40" customFormat="1" ht="17.25" customHeight="1" x14ac:dyDescent="0.2">
      <c r="B205" s="151"/>
      <c r="C205" s="151"/>
      <c r="D205" s="132"/>
      <c r="E205" s="38" t="s">
        <v>4</v>
      </c>
      <c r="F205" s="41">
        <f t="shared" ref="F205:F206" si="128">SUM(G205:L205)</f>
        <v>403729.4</v>
      </c>
      <c r="G205" s="42">
        <f t="shared" si="126"/>
        <v>0</v>
      </c>
      <c r="H205" s="42">
        <f t="shared" si="126"/>
        <v>37568.800000000003</v>
      </c>
      <c r="I205" s="42">
        <f>I20+I60+I80+I95+I100+I140+I145+I135+I115+I120+I110+I175+I180+I185+I190+I195</f>
        <v>90451.6</v>
      </c>
      <c r="J205" s="42">
        <f t="shared" si="127"/>
        <v>90652.5</v>
      </c>
      <c r="K205" s="42">
        <f t="shared" si="127"/>
        <v>91333.4</v>
      </c>
      <c r="L205" s="42">
        <f>L20+L60+L80+L95+L100+L140+L145+L135+L115+L120+L110+L175+L180+L185+L190</f>
        <v>93723.1</v>
      </c>
    </row>
    <row r="206" spans="2:14" s="43" customFormat="1" ht="17.25" customHeight="1" x14ac:dyDescent="0.2">
      <c r="B206" s="152"/>
      <c r="C206" s="152"/>
      <c r="D206" s="132"/>
      <c r="E206" s="38" t="s">
        <v>6</v>
      </c>
      <c r="F206" s="42">
        <f t="shared" si="128"/>
        <v>20844</v>
      </c>
      <c r="G206" s="42">
        <f t="shared" si="126"/>
        <v>2236.6</v>
      </c>
      <c r="H206" s="42">
        <f t="shared" si="126"/>
        <v>5113.7</v>
      </c>
      <c r="I206" s="42">
        <f>I21+I61+I81+I96+I101+I141+I146+I136+I116+I121+I111+I176+I181+I186+I191+I196</f>
        <v>5143.7</v>
      </c>
      <c r="J206" s="42">
        <f t="shared" si="127"/>
        <v>8350</v>
      </c>
      <c r="K206" s="42">
        <f t="shared" si="127"/>
        <v>0</v>
      </c>
      <c r="L206" s="42">
        <f>L21+L61+L81+L96+L101+L141+L146+L136+L116+L121+L111+L176+L181+L186+L191</f>
        <v>0</v>
      </c>
    </row>
    <row r="207" spans="2:14" s="1" customFormat="1" ht="15.75" x14ac:dyDescent="0.25">
      <c r="F207" s="44"/>
      <c r="G207" s="45"/>
      <c r="H207" s="46"/>
      <c r="I207" s="46"/>
      <c r="J207" s="46"/>
      <c r="M207" s="1" t="s">
        <v>122</v>
      </c>
    </row>
    <row r="208" spans="2:14" x14ac:dyDescent="0.2">
      <c r="H208" s="26"/>
    </row>
    <row r="209" spans="10:10" x14ac:dyDescent="0.2">
      <c r="J209" s="26"/>
    </row>
    <row r="210" spans="10:10" x14ac:dyDescent="0.2">
      <c r="J210" s="26"/>
    </row>
  </sheetData>
  <mergeCells count="123">
    <mergeCell ref="B192:B196"/>
    <mergeCell ref="C192:C196"/>
    <mergeCell ref="D192:D196"/>
    <mergeCell ref="B202:B206"/>
    <mergeCell ref="C202:C206"/>
    <mergeCell ref="D202:D206"/>
    <mergeCell ref="B162:B166"/>
    <mergeCell ref="C162:C166"/>
    <mergeCell ref="D162:D166"/>
    <mergeCell ref="C197:C201"/>
    <mergeCell ref="B197:B201"/>
    <mergeCell ref="D197:D201"/>
    <mergeCell ref="B182:B186"/>
    <mergeCell ref="C182:C186"/>
    <mergeCell ref="D182:D186"/>
    <mergeCell ref="B177:B181"/>
    <mergeCell ref="C177:C181"/>
    <mergeCell ref="D177:D181"/>
    <mergeCell ref="D167:D171"/>
    <mergeCell ref="B172:B176"/>
    <mergeCell ref="C172:C176"/>
    <mergeCell ref="D172:D176"/>
    <mergeCell ref="C187:C191"/>
    <mergeCell ref="D187:D191"/>
    <mergeCell ref="B10:L10"/>
    <mergeCell ref="B11:L11"/>
    <mergeCell ref="G13:L13"/>
    <mergeCell ref="B13:B14"/>
    <mergeCell ref="C13:C14"/>
    <mergeCell ref="D13:D14"/>
    <mergeCell ref="E13:E14"/>
    <mergeCell ref="F13:F14"/>
    <mergeCell ref="C117:C121"/>
    <mergeCell ref="D117:D121"/>
    <mergeCell ref="B37:B41"/>
    <mergeCell ref="C37:C41"/>
    <mergeCell ref="D37:D41"/>
    <mergeCell ref="B17:B21"/>
    <mergeCell ref="C17:C21"/>
    <mergeCell ref="D17:D21"/>
    <mergeCell ref="B22:B26"/>
    <mergeCell ref="C22:C26"/>
    <mergeCell ref="D22:D26"/>
    <mergeCell ref="B16:L16"/>
    <mergeCell ref="B87:B91"/>
    <mergeCell ref="C87:C91"/>
    <mergeCell ref="D87:D91"/>
    <mergeCell ref="B77:B81"/>
    <mergeCell ref="B187:B191"/>
    <mergeCell ref="B67:B71"/>
    <mergeCell ref="B92:B96"/>
    <mergeCell ref="D47:D51"/>
    <mergeCell ref="B62:B66"/>
    <mergeCell ref="C62:C66"/>
    <mergeCell ref="D62:D66"/>
    <mergeCell ref="B72:B76"/>
    <mergeCell ref="C72:C76"/>
    <mergeCell ref="D72:D76"/>
    <mergeCell ref="B122:B126"/>
    <mergeCell ref="C122:C126"/>
    <mergeCell ref="D122:D126"/>
    <mergeCell ref="B167:B171"/>
    <mergeCell ref="C167:C171"/>
    <mergeCell ref="C77:C81"/>
    <mergeCell ref="C67:C71"/>
    <mergeCell ref="D67:D71"/>
    <mergeCell ref="B57:B61"/>
    <mergeCell ref="D77:D81"/>
    <mergeCell ref="B82:B86"/>
    <mergeCell ref="C82:C86"/>
    <mergeCell ref="D102:D106"/>
    <mergeCell ref="B112:B116"/>
    <mergeCell ref="C112:C116"/>
    <mergeCell ref="D112:D116"/>
    <mergeCell ref="B27:B31"/>
    <mergeCell ref="C27:C31"/>
    <mergeCell ref="D27:D31"/>
    <mergeCell ref="B32:B36"/>
    <mergeCell ref="C32:C36"/>
    <mergeCell ref="D32:D36"/>
    <mergeCell ref="B47:B51"/>
    <mergeCell ref="B42:B46"/>
    <mergeCell ref="C42:C46"/>
    <mergeCell ref="D42:D46"/>
    <mergeCell ref="C47:C51"/>
    <mergeCell ref="D57:D61"/>
    <mergeCell ref="C57:C61"/>
    <mergeCell ref="B52:B56"/>
    <mergeCell ref="C52:C56"/>
    <mergeCell ref="D52:D56"/>
    <mergeCell ref="B127:B131"/>
    <mergeCell ref="C127:C131"/>
    <mergeCell ref="D127:D131"/>
    <mergeCell ref="B117:B121"/>
    <mergeCell ref="C92:C96"/>
    <mergeCell ref="D92:D96"/>
    <mergeCell ref="D82:D86"/>
    <mergeCell ref="B142:B146"/>
    <mergeCell ref="C142:C146"/>
    <mergeCell ref="D142:D146"/>
    <mergeCell ref="B107:B111"/>
    <mergeCell ref="C107:C111"/>
    <mergeCell ref="D107:D111"/>
    <mergeCell ref="B137:B141"/>
    <mergeCell ref="C137:C141"/>
    <mergeCell ref="D137:D141"/>
    <mergeCell ref="B132:B136"/>
    <mergeCell ref="C132:C136"/>
    <mergeCell ref="D132:D136"/>
    <mergeCell ref="B97:B101"/>
    <mergeCell ref="C97:C101"/>
    <mergeCell ref="D97:D101"/>
    <mergeCell ref="B102:B106"/>
    <mergeCell ref="C102:C106"/>
    <mergeCell ref="B157:B161"/>
    <mergeCell ref="C157:C161"/>
    <mergeCell ref="D157:D161"/>
    <mergeCell ref="B147:B151"/>
    <mergeCell ref="C147:C151"/>
    <mergeCell ref="D147:D151"/>
    <mergeCell ref="B152:B156"/>
    <mergeCell ref="C152:C156"/>
    <mergeCell ref="D152:D156"/>
  </mergeCells>
  <pageMargins left="1.3779527559055118" right="0.39370078740157483" top="0.78740157480314965" bottom="0.39370078740157483" header="0.19685039370078741" footer="0.15748031496062992"/>
  <pageSetup paperSize="9" scale="49" fitToHeight="3" orientation="portrait" r:id="rId1"/>
  <headerFooter alignWithMargins="0"/>
  <rowBreaks count="2" manualBreakCount="2">
    <brk id="81" max="12" man="1"/>
    <brk id="17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154"/>
  <sheetViews>
    <sheetView view="pageBreakPreview" zoomScaleNormal="75" zoomScaleSheetLayoutView="100" workbookViewId="0">
      <pane xSplit="2" ySplit="15" topLeftCell="C88" activePane="bottomRight" state="frozen"/>
      <selection activeCell="J55" sqref="J55"/>
      <selection pane="topRight" activeCell="J55" sqref="J55"/>
      <selection pane="bottomLeft" activeCell="J55" sqref="J55"/>
      <selection pane="bottomRight" activeCell="D12" sqref="D12"/>
    </sheetView>
  </sheetViews>
  <sheetFormatPr defaultRowHeight="12.75" x14ac:dyDescent="0.2"/>
  <cols>
    <col min="1" max="1" width="2.42578125" style="2" customWidth="1"/>
    <col min="2" max="2" width="4.85546875" style="2" customWidth="1"/>
    <col min="3" max="3" width="41.140625" style="2" customWidth="1"/>
    <col min="4" max="4" width="18.42578125" style="2" customWidth="1"/>
    <col min="5" max="5" width="20.28515625" style="2" customWidth="1"/>
    <col min="6" max="6" width="11.140625" style="27" customWidth="1"/>
    <col min="7" max="8" width="10.28515625" style="2" customWidth="1"/>
    <col min="9" max="9" width="10.28515625" style="60" customWidth="1"/>
    <col min="10" max="12" width="10.28515625" style="2" customWidth="1"/>
    <col min="13" max="13" width="2.42578125" style="2" customWidth="1"/>
    <col min="14" max="14" width="6.28515625" style="2" customWidth="1"/>
    <col min="15" max="16384" width="9.140625" style="2"/>
  </cols>
  <sheetData>
    <row r="1" spans="1:12" ht="15.75" x14ac:dyDescent="0.25">
      <c r="F1" s="2"/>
      <c r="G1" s="1" t="s">
        <v>177</v>
      </c>
      <c r="I1" s="2"/>
    </row>
    <row r="2" spans="1:12" ht="15.75" x14ac:dyDescent="0.25">
      <c r="F2" s="2"/>
      <c r="G2" s="1" t="s">
        <v>120</v>
      </c>
      <c r="I2" s="2"/>
    </row>
    <row r="3" spans="1:12" ht="15.75" x14ac:dyDescent="0.25">
      <c r="F3" s="2"/>
      <c r="G3" s="1" t="str">
        <f>+Свод!G3</f>
        <v>№ 587 от 12.08.2022 г.</v>
      </c>
      <c r="I3" s="2"/>
    </row>
    <row r="4" spans="1:12" x14ac:dyDescent="0.2">
      <c r="F4" s="2"/>
      <c r="I4" s="2"/>
    </row>
    <row r="5" spans="1:12" s="1" customFormat="1" ht="12.75" customHeight="1" x14ac:dyDescent="0.25">
      <c r="F5" s="10"/>
      <c r="G5" s="1" t="s">
        <v>119</v>
      </c>
    </row>
    <row r="6" spans="1:12" s="1" customFormat="1" ht="12.75" customHeight="1" x14ac:dyDescent="0.25">
      <c r="G6" s="1" t="s">
        <v>193</v>
      </c>
    </row>
    <row r="7" spans="1:12" s="1" customFormat="1" ht="12.75" customHeight="1" x14ac:dyDescent="0.25">
      <c r="G7" s="1" t="s">
        <v>192</v>
      </c>
    </row>
    <row r="8" spans="1:12" s="1" customFormat="1" ht="15" customHeight="1" x14ac:dyDescent="0.25">
      <c r="G8" s="1" t="s">
        <v>125</v>
      </c>
    </row>
    <row r="9" spans="1:12" s="1" customFormat="1" ht="12" customHeight="1" x14ac:dyDescent="0.25">
      <c r="F9" s="10"/>
    </row>
    <row r="10" spans="1:12" s="1" customFormat="1" ht="33" customHeight="1" x14ac:dyDescent="0.25">
      <c r="B10" s="159" t="s">
        <v>191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s="1" customFormat="1" ht="13.5" customHeight="1" x14ac:dyDescent="0.25">
      <c r="B11" s="160" t="s">
        <v>127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 s="1" customFormat="1" ht="12" customHeight="1" x14ac:dyDescent="0.25">
      <c r="A12" s="1" t="s">
        <v>121</v>
      </c>
      <c r="F12" s="10"/>
    </row>
    <row r="13" spans="1:12" s="1" customFormat="1" ht="13.5" customHeight="1" x14ac:dyDescent="0.25">
      <c r="B13" s="133" t="s">
        <v>30</v>
      </c>
      <c r="C13" s="133" t="s">
        <v>31</v>
      </c>
      <c r="D13" s="133" t="s">
        <v>32</v>
      </c>
      <c r="E13" s="133" t="s">
        <v>33</v>
      </c>
      <c r="F13" s="204" t="s">
        <v>34</v>
      </c>
      <c r="G13" s="180" t="s">
        <v>35</v>
      </c>
      <c r="H13" s="181"/>
      <c r="I13" s="181"/>
      <c r="J13" s="181"/>
      <c r="K13" s="181"/>
      <c r="L13" s="182"/>
    </row>
    <row r="14" spans="1:12" s="1" customFormat="1" ht="72" customHeight="1" x14ac:dyDescent="0.25">
      <c r="B14" s="134"/>
      <c r="C14" s="134"/>
      <c r="D14" s="134"/>
      <c r="E14" s="134"/>
      <c r="F14" s="134"/>
      <c r="G14" s="103" t="s">
        <v>38</v>
      </c>
      <c r="H14" s="103" t="s">
        <v>43</v>
      </c>
      <c r="I14" s="103" t="s">
        <v>39</v>
      </c>
      <c r="J14" s="103" t="s">
        <v>150</v>
      </c>
      <c r="K14" s="103" t="s">
        <v>152</v>
      </c>
      <c r="L14" s="103" t="s">
        <v>151</v>
      </c>
    </row>
    <row r="15" spans="1:12" s="1" customFormat="1" ht="14.25" customHeight="1" x14ac:dyDescent="0.25">
      <c r="B15" s="29">
        <v>1</v>
      </c>
      <c r="C15" s="29">
        <v>2</v>
      </c>
      <c r="D15" s="29">
        <v>3</v>
      </c>
      <c r="E15" s="29">
        <v>4</v>
      </c>
      <c r="F15" s="29">
        <v>5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</row>
    <row r="16" spans="1:12" s="1" customFormat="1" ht="15.75" customHeight="1" x14ac:dyDescent="0.25">
      <c r="B16" s="107"/>
      <c r="C16" s="205" t="s">
        <v>56</v>
      </c>
      <c r="D16" s="206"/>
      <c r="E16" s="206"/>
      <c r="F16" s="206"/>
      <c r="G16" s="206"/>
      <c r="H16" s="206"/>
      <c r="I16" s="206"/>
      <c r="J16" s="206"/>
      <c r="K16" s="206"/>
      <c r="L16" s="206"/>
    </row>
    <row r="17" spans="2:12" s="1" customFormat="1" ht="15.75" x14ac:dyDescent="0.25">
      <c r="B17" s="150" t="s">
        <v>0</v>
      </c>
      <c r="C17" s="172" t="s">
        <v>164</v>
      </c>
      <c r="D17" s="133" t="s">
        <v>1</v>
      </c>
      <c r="E17" s="48" t="s">
        <v>2</v>
      </c>
      <c r="F17" s="49">
        <f>SUM(F18:F21)</f>
        <v>115846.39999999999</v>
      </c>
      <c r="G17" s="49">
        <f t="shared" ref="G17" si="0">SUM(G18:G21)</f>
        <v>36614.5</v>
      </c>
      <c r="H17" s="78">
        <f t="shared" ref="H17:L17" si="1">SUM(H18:H21)</f>
        <v>36225</v>
      </c>
      <c r="I17" s="78">
        <f t="shared" si="1"/>
        <v>22297.399999999998</v>
      </c>
      <c r="J17" s="78">
        <f t="shared" si="1"/>
        <v>18140.5</v>
      </c>
      <c r="K17" s="78">
        <f t="shared" si="1"/>
        <v>1210</v>
      </c>
      <c r="L17" s="78">
        <f t="shared" si="1"/>
        <v>1359</v>
      </c>
    </row>
    <row r="18" spans="2:12" s="1" customFormat="1" ht="15.75" x14ac:dyDescent="0.25">
      <c r="B18" s="151"/>
      <c r="C18" s="173"/>
      <c r="D18" s="158"/>
      <c r="E18" s="50" t="s">
        <v>5</v>
      </c>
      <c r="F18" s="49">
        <f>SUM(G18:L18)</f>
        <v>96227.299999999988</v>
      </c>
      <c r="G18" s="51">
        <f>G23</f>
        <v>30693.4</v>
      </c>
      <c r="H18" s="79">
        <f t="shared" ref="H18:L21" si="2">H23</f>
        <v>27190.799999999999</v>
      </c>
      <c r="I18" s="79">
        <f t="shared" si="2"/>
        <v>17633.599999999999</v>
      </c>
      <c r="J18" s="79">
        <f>J23+J28</f>
        <v>18140.5</v>
      </c>
      <c r="K18" s="79">
        <f t="shared" si="2"/>
        <v>1210</v>
      </c>
      <c r="L18" s="79">
        <f t="shared" si="2"/>
        <v>1359</v>
      </c>
    </row>
    <row r="19" spans="2:12" s="1" customFormat="1" ht="15.75" x14ac:dyDescent="0.25">
      <c r="B19" s="151"/>
      <c r="C19" s="191"/>
      <c r="D19" s="158"/>
      <c r="E19" s="50" t="s">
        <v>3</v>
      </c>
      <c r="F19" s="49">
        <f>SUM(G19:L19)</f>
        <v>19619.099999999999</v>
      </c>
      <c r="G19" s="51">
        <f t="shared" ref="G19:G21" si="3">G24</f>
        <v>5921.1</v>
      </c>
      <c r="H19" s="79">
        <f t="shared" si="2"/>
        <v>9034.1999999999989</v>
      </c>
      <c r="I19" s="79">
        <f t="shared" si="2"/>
        <v>4663.8</v>
      </c>
      <c r="J19" s="79">
        <f>J24+J29</f>
        <v>0</v>
      </c>
      <c r="K19" s="79">
        <f t="shared" si="2"/>
        <v>0</v>
      </c>
      <c r="L19" s="79">
        <f t="shared" si="2"/>
        <v>0</v>
      </c>
    </row>
    <row r="20" spans="2:12" s="1" customFormat="1" ht="15.75" x14ac:dyDescent="0.25">
      <c r="B20" s="151"/>
      <c r="C20" s="191"/>
      <c r="D20" s="158"/>
      <c r="E20" s="50" t="s">
        <v>4</v>
      </c>
      <c r="F20" s="49">
        <f>SUM(G20:L20)</f>
        <v>0</v>
      </c>
      <c r="G20" s="51">
        <f t="shared" si="3"/>
        <v>0</v>
      </c>
      <c r="H20" s="79">
        <f t="shared" si="2"/>
        <v>0</v>
      </c>
      <c r="I20" s="79">
        <f t="shared" si="2"/>
        <v>0</v>
      </c>
      <c r="J20" s="79">
        <f>J25+J30</f>
        <v>0</v>
      </c>
      <c r="K20" s="79">
        <f t="shared" si="2"/>
        <v>0</v>
      </c>
      <c r="L20" s="79">
        <f t="shared" si="2"/>
        <v>0</v>
      </c>
    </row>
    <row r="21" spans="2:12" s="1" customFormat="1" ht="15.75" x14ac:dyDescent="0.25">
      <c r="B21" s="152"/>
      <c r="C21" s="192"/>
      <c r="D21" s="134"/>
      <c r="E21" s="52" t="s">
        <v>6</v>
      </c>
      <c r="F21" s="49">
        <f>SUM(G21:L21)</f>
        <v>0</v>
      </c>
      <c r="G21" s="51">
        <f t="shared" si="3"/>
        <v>0</v>
      </c>
      <c r="H21" s="79">
        <f t="shared" si="2"/>
        <v>0</v>
      </c>
      <c r="I21" s="79">
        <f t="shared" si="2"/>
        <v>0</v>
      </c>
      <c r="J21" s="79">
        <f>J26+J31</f>
        <v>0</v>
      </c>
      <c r="K21" s="79">
        <f t="shared" si="2"/>
        <v>0</v>
      </c>
      <c r="L21" s="79">
        <f t="shared" si="2"/>
        <v>0</v>
      </c>
    </row>
    <row r="22" spans="2:12" s="1" customFormat="1" ht="34.5" customHeight="1" x14ac:dyDescent="0.25">
      <c r="B22" s="142" t="s">
        <v>17</v>
      </c>
      <c r="C22" s="188" t="s">
        <v>57</v>
      </c>
      <c r="D22" s="133" t="s">
        <v>1</v>
      </c>
      <c r="E22" s="48" t="s">
        <v>2</v>
      </c>
      <c r="F22" s="49">
        <f t="shared" ref="F22:G22" si="4">SUM(F23:F26)</f>
        <v>102653.4</v>
      </c>
      <c r="G22" s="49">
        <f t="shared" si="4"/>
        <v>36614.5</v>
      </c>
      <c r="H22" s="78">
        <f t="shared" ref="H22:L22" si="5">SUM(H23:H26)</f>
        <v>36225</v>
      </c>
      <c r="I22" s="78">
        <f t="shared" si="5"/>
        <v>22297.399999999998</v>
      </c>
      <c r="J22" s="78">
        <f t="shared" si="5"/>
        <v>4947.5</v>
      </c>
      <c r="K22" s="78">
        <f t="shared" si="5"/>
        <v>1210</v>
      </c>
      <c r="L22" s="78">
        <f t="shared" si="5"/>
        <v>1359</v>
      </c>
    </row>
    <row r="23" spans="2:12" s="1" customFormat="1" ht="34.5" customHeight="1" x14ac:dyDescent="0.25">
      <c r="B23" s="143"/>
      <c r="C23" s="191"/>
      <c r="D23" s="158"/>
      <c r="E23" s="50" t="s">
        <v>5</v>
      </c>
      <c r="F23" s="49">
        <f>SUM(G23:L23)</f>
        <v>83034.299999999988</v>
      </c>
      <c r="G23" s="51">
        <v>30693.4</v>
      </c>
      <c r="H23" s="79">
        <f>2323.8+24866.9+0.1</f>
        <v>27190.799999999999</v>
      </c>
      <c r="I23" s="79">
        <v>17633.599999999999</v>
      </c>
      <c r="J23" s="79">
        <v>4947.5</v>
      </c>
      <c r="K23" s="79">
        <v>1210</v>
      </c>
      <c r="L23" s="79">
        <v>1359</v>
      </c>
    </row>
    <row r="24" spans="2:12" s="1" customFormat="1" ht="34.5" customHeight="1" x14ac:dyDescent="0.25">
      <c r="B24" s="143"/>
      <c r="C24" s="191"/>
      <c r="D24" s="158"/>
      <c r="E24" s="50" t="s">
        <v>3</v>
      </c>
      <c r="F24" s="49">
        <f>SUM(G24:L24)</f>
        <v>19619.099999999999</v>
      </c>
      <c r="G24" s="51">
        <v>5921.1</v>
      </c>
      <c r="H24" s="79">
        <f>9034.3-0.1</f>
        <v>9034.1999999999989</v>
      </c>
      <c r="I24" s="79">
        <v>4663.8</v>
      </c>
      <c r="J24" s="79">
        <v>0</v>
      </c>
      <c r="K24" s="79">
        <v>0</v>
      </c>
      <c r="L24" s="79">
        <v>0</v>
      </c>
    </row>
    <row r="25" spans="2:12" s="1" customFormat="1" ht="34.5" customHeight="1" x14ac:dyDescent="0.25">
      <c r="B25" s="143"/>
      <c r="C25" s="191"/>
      <c r="D25" s="158"/>
      <c r="E25" s="50" t="s">
        <v>4</v>
      </c>
      <c r="F25" s="49">
        <f>SUM(G25:L25)</f>
        <v>0</v>
      </c>
      <c r="G25" s="51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 s="1" customFormat="1" ht="34.5" customHeight="1" x14ac:dyDescent="0.25">
      <c r="B26" s="144"/>
      <c r="C26" s="192"/>
      <c r="D26" s="134"/>
      <c r="E26" s="52" t="s">
        <v>6</v>
      </c>
      <c r="F26" s="49">
        <f>SUM(G26:L26)</f>
        <v>0</v>
      </c>
      <c r="G26" s="51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 s="1" customFormat="1" ht="15.75" x14ac:dyDescent="0.25">
      <c r="B27" s="142" t="s">
        <v>19</v>
      </c>
      <c r="C27" s="186" t="s">
        <v>200</v>
      </c>
      <c r="D27" s="133" t="s">
        <v>1</v>
      </c>
      <c r="E27" s="48" t="s">
        <v>2</v>
      </c>
      <c r="F27" s="49">
        <f t="shared" ref="F27:L27" si="6">SUM(F28:F31)</f>
        <v>13193</v>
      </c>
      <c r="G27" s="49">
        <f t="shared" si="6"/>
        <v>0</v>
      </c>
      <c r="H27" s="78">
        <f t="shared" si="6"/>
        <v>0</v>
      </c>
      <c r="I27" s="78">
        <f t="shared" si="6"/>
        <v>0</v>
      </c>
      <c r="J27" s="78">
        <f t="shared" si="6"/>
        <v>13193</v>
      </c>
      <c r="K27" s="78">
        <f t="shared" si="6"/>
        <v>0</v>
      </c>
      <c r="L27" s="78">
        <f t="shared" si="6"/>
        <v>0</v>
      </c>
    </row>
    <row r="28" spans="2:12" s="1" customFormat="1" ht="15.75" x14ac:dyDescent="0.25">
      <c r="B28" s="143"/>
      <c r="C28" s="186"/>
      <c r="D28" s="158"/>
      <c r="E28" s="50" t="s">
        <v>5</v>
      </c>
      <c r="F28" s="49">
        <f>SUM(G28:L28)</f>
        <v>13193</v>
      </c>
      <c r="G28" s="51">
        <v>0</v>
      </c>
      <c r="H28" s="79">
        <v>0</v>
      </c>
      <c r="I28" s="79">
        <v>0</v>
      </c>
      <c r="J28" s="79">
        <v>13193</v>
      </c>
      <c r="K28" s="79">
        <v>0</v>
      </c>
      <c r="L28" s="79">
        <v>0</v>
      </c>
    </row>
    <row r="29" spans="2:12" s="1" customFormat="1" ht="15.75" x14ac:dyDescent="0.25">
      <c r="B29" s="143"/>
      <c r="C29" s="186"/>
      <c r="D29" s="158"/>
      <c r="E29" s="50" t="s">
        <v>3</v>
      </c>
      <c r="F29" s="49">
        <f>SUM(G29:L29)</f>
        <v>0</v>
      </c>
      <c r="G29" s="51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 s="1" customFormat="1" ht="15.75" x14ac:dyDescent="0.25">
      <c r="B30" s="143"/>
      <c r="C30" s="186"/>
      <c r="D30" s="158"/>
      <c r="E30" s="50" t="s">
        <v>4</v>
      </c>
      <c r="F30" s="49">
        <f>SUM(G30:L30)</f>
        <v>0</v>
      </c>
      <c r="G30" s="51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 s="1" customFormat="1" ht="15.75" x14ac:dyDescent="0.25">
      <c r="B31" s="144"/>
      <c r="C31" s="186"/>
      <c r="D31" s="134"/>
      <c r="E31" s="52" t="s">
        <v>6</v>
      </c>
      <c r="F31" s="49">
        <f>SUM(G31:L31)</f>
        <v>0</v>
      </c>
      <c r="G31" s="51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 s="1" customFormat="1" ht="15.75" x14ac:dyDescent="0.25">
      <c r="B32" s="207" t="s">
        <v>7</v>
      </c>
      <c r="C32" s="172" t="s">
        <v>58</v>
      </c>
      <c r="D32" s="133" t="s">
        <v>1</v>
      </c>
      <c r="E32" s="48" t="s">
        <v>2</v>
      </c>
      <c r="F32" s="49">
        <f t="shared" ref="F32:G32" si="7">SUM(F33:F36)</f>
        <v>712</v>
      </c>
      <c r="G32" s="49">
        <f t="shared" si="7"/>
        <v>50</v>
      </c>
      <c r="H32" s="78">
        <f t="shared" ref="H32:L32" si="8">SUM(H33:H36)</f>
        <v>0</v>
      </c>
      <c r="I32" s="78">
        <f t="shared" si="8"/>
        <v>14</v>
      </c>
      <c r="J32" s="78">
        <f t="shared" si="8"/>
        <v>238</v>
      </c>
      <c r="K32" s="78">
        <f t="shared" si="8"/>
        <v>201</v>
      </c>
      <c r="L32" s="78">
        <f t="shared" si="8"/>
        <v>209</v>
      </c>
    </row>
    <row r="33" spans="2:12" s="1" customFormat="1" ht="15.75" x14ac:dyDescent="0.25">
      <c r="B33" s="208"/>
      <c r="C33" s="173"/>
      <c r="D33" s="158"/>
      <c r="E33" s="50" t="s">
        <v>5</v>
      </c>
      <c r="F33" s="49">
        <f>SUM(G33:L33)</f>
        <v>712</v>
      </c>
      <c r="G33" s="51">
        <f>G38+G43+G48</f>
        <v>50</v>
      </c>
      <c r="H33" s="79">
        <f t="shared" ref="H33:L36" si="9">H38+H43+H48</f>
        <v>0</v>
      </c>
      <c r="I33" s="79">
        <f t="shared" si="9"/>
        <v>14</v>
      </c>
      <c r="J33" s="79">
        <f t="shared" si="9"/>
        <v>238</v>
      </c>
      <c r="K33" s="79">
        <f t="shared" si="9"/>
        <v>201</v>
      </c>
      <c r="L33" s="79">
        <f t="shared" si="9"/>
        <v>209</v>
      </c>
    </row>
    <row r="34" spans="2:12" s="1" customFormat="1" ht="15.75" x14ac:dyDescent="0.25">
      <c r="B34" s="151"/>
      <c r="C34" s="191"/>
      <c r="D34" s="158"/>
      <c r="E34" s="50" t="s">
        <v>3</v>
      </c>
      <c r="F34" s="49">
        <f>SUM(G34:L34)</f>
        <v>0</v>
      </c>
      <c r="G34" s="51">
        <f t="shared" ref="G34:G36" si="10">G39+G44+G49</f>
        <v>0</v>
      </c>
      <c r="H34" s="79">
        <f t="shared" si="9"/>
        <v>0</v>
      </c>
      <c r="I34" s="79">
        <f t="shared" si="9"/>
        <v>0</v>
      </c>
      <c r="J34" s="79">
        <f t="shared" si="9"/>
        <v>0</v>
      </c>
      <c r="K34" s="79">
        <f t="shared" si="9"/>
        <v>0</v>
      </c>
      <c r="L34" s="79">
        <f t="shared" si="9"/>
        <v>0</v>
      </c>
    </row>
    <row r="35" spans="2:12" s="1" customFormat="1" ht="15.75" x14ac:dyDescent="0.25">
      <c r="B35" s="151"/>
      <c r="C35" s="191"/>
      <c r="D35" s="158"/>
      <c r="E35" s="50" t="s">
        <v>4</v>
      </c>
      <c r="F35" s="49">
        <f t="shared" ref="F35:F61" si="11">SUM(G35:L35)</f>
        <v>0</v>
      </c>
      <c r="G35" s="51">
        <f t="shared" si="10"/>
        <v>0</v>
      </c>
      <c r="H35" s="79">
        <f t="shared" si="9"/>
        <v>0</v>
      </c>
      <c r="I35" s="79">
        <f t="shared" si="9"/>
        <v>0</v>
      </c>
      <c r="J35" s="79">
        <f t="shared" si="9"/>
        <v>0</v>
      </c>
      <c r="K35" s="79">
        <f t="shared" si="9"/>
        <v>0</v>
      </c>
      <c r="L35" s="79">
        <f t="shared" si="9"/>
        <v>0</v>
      </c>
    </row>
    <row r="36" spans="2:12" s="1" customFormat="1" ht="15.75" x14ac:dyDescent="0.25">
      <c r="B36" s="151"/>
      <c r="C36" s="191"/>
      <c r="D36" s="158"/>
      <c r="E36" s="53" t="s">
        <v>6</v>
      </c>
      <c r="F36" s="49">
        <f t="shared" si="11"/>
        <v>0</v>
      </c>
      <c r="G36" s="51">
        <f t="shared" si="10"/>
        <v>0</v>
      </c>
      <c r="H36" s="79">
        <f t="shared" si="9"/>
        <v>0</v>
      </c>
      <c r="I36" s="79">
        <f t="shared" si="9"/>
        <v>0</v>
      </c>
      <c r="J36" s="79">
        <f t="shared" si="9"/>
        <v>0</v>
      </c>
      <c r="K36" s="79">
        <f t="shared" si="9"/>
        <v>0</v>
      </c>
      <c r="L36" s="79">
        <f t="shared" si="9"/>
        <v>0</v>
      </c>
    </row>
    <row r="37" spans="2:12" s="1" customFormat="1" ht="15.75" x14ac:dyDescent="0.25">
      <c r="B37" s="142" t="s">
        <v>11</v>
      </c>
      <c r="C37" s="188" t="s">
        <v>59</v>
      </c>
      <c r="D37" s="133" t="s">
        <v>1</v>
      </c>
      <c r="E37" s="48" t="s">
        <v>2</v>
      </c>
      <c r="F37" s="49">
        <f t="shared" ref="F37:G37" si="12">SUM(F38:F41)</f>
        <v>4.9000000000000004</v>
      </c>
      <c r="G37" s="49">
        <f t="shared" si="12"/>
        <v>4.9000000000000004</v>
      </c>
      <c r="H37" s="78">
        <f t="shared" ref="H37:L37" si="13">SUM(H38:H41)</f>
        <v>0</v>
      </c>
      <c r="I37" s="78">
        <f t="shared" si="13"/>
        <v>0</v>
      </c>
      <c r="J37" s="78">
        <f t="shared" si="13"/>
        <v>0</v>
      </c>
      <c r="K37" s="78">
        <f t="shared" si="13"/>
        <v>0</v>
      </c>
      <c r="L37" s="78">
        <f t="shared" si="13"/>
        <v>0</v>
      </c>
    </row>
    <row r="38" spans="2:12" s="1" customFormat="1" ht="15.75" x14ac:dyDescent="0.25">
      <c r="B38" s="166"/>
      <c r="C38" s="189"/>
      <c r="D38" s="158"/>
      <c r="E38" s="50" t="s">
        <v>5</v>
      </c>
      <c r="F38" s="49">
        <f t="shared" si="11"/>
        <v>4.9000000000000004</v>
      </c>
      <c r="G38" s="51">
        <v>4.9000000000000004</v>
      </c>
      <c r="H38" s="79">
        <f>8-8</f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 s="1" customFormat="1" ht="15.75" x14ac:dyDescent="0.25">
      <c r="B39" s="166"/>
      <c r="C39" s="189"/>
      <c r="D39" s="158"/>
      <c r="E39" s="50" t="s">
        <v>3</v>
      </c>
      <c r="F39" s="49">
        <f>SUM(G39:L39)</f>
        <v>0</v>
      </c>
      <c r="G39" s="51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 s="1" customFormat="1" ht="15.75" x14ac:dyDescent="0.25">
      <c r="B40" s="166"/>
      <c r="C40" s="189"/>
      <c r="D40" s="158"/>
      <c r="E40" s="50" t="s">
        <v>4</v>
      </c>
      <c r="F40" s="49">
        <f t="shared" ref="F40:F41" si="14">SUM(G40:L40)</f>
        <v>0</v>
      </c>
      <c r="G40" s="51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</row>
    <row r="41" spans="2:12" s="1" customFormat="1" ht="15.75" x14ac:dyDescent="0.25">
      <c r="B41" s="167"/>
      <c r="C41" s="190"/>
      <c r="D41" s="158"/>
      <c r="E41" s="52" t="s">
        <v>6</v>
      </c>
      <c r="F41" s="49">
        <f t="shared" si="14"/>
        <v>0</v>
      </c>
      <c r="G41" s="54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</row>
    <row r="42" spans="2:12" s="1" customFormat="1" ht="15.75" x14ac:dyDescent="0.25">
      <c r="B42" s="142" t="s">
        <v>13</v>
      </c>
      <c r="C42" s="188" t="s">
        <v>60</v>
      </c>
      <c r="D42" s="133" t="s">
        <v>1</v>
      </c>
      <c r="E42" s="48" t="s">
        <v>2</v>
      </c>
      <c r="F42" s="49">
        <f t="shared" ref="F42:G42" si="15">SUM(F43:F46)</f>
        <v>690.5</v>
      </c>
      <c r="G42" s="49">
        <f t="shared" si="15"/>
        <v>42.5</v>
      </c>
      <c r="H42" s="78">
        <f t="shared" ref="H42:L42" si="16">SUM(H43:H46)</f>
        <v>0</v>
      </c>
      <c r="I42" s="78">
        <f t="shared" si="16"/>
        <v>0</v>
      </c>
      <c r="J42" s="78">
        <f t="shared" si="16"/>
        <v>238</v>
      </c>
      <c r="K42" s="78">
        <f t="shared" si="16"/>
        <v>201</v>
      </c>
      <c r="L42" s="78">
        <f t="shared" si="16"/>
        <v>209</v>
      </c>
    </row>
    <row r="43" spans="2:12" s="1" customFormat="1" ht="15.75" x14ac:dyDescent="0.25">
      <c r="B43" s="143"/>
      <c r="C43" s="191"/>
      <c r="D43" s="158"/>
      <c r="E43" s="50" t="s">
        <v>5</v>
      </c>
      <c r="F43" s="49">
        <f t="shared" si="11"/>
        <v>690.5</v>
      </c>
      <c r="G43" s="51">
        <f>50-G38-G48</f>
        <v>42.5</v>
      </c>
      <c r="H43" s="79">
        <f>68-68</f>
        <v>0</v>
      </c>
      <c r="I43" s="79">
        <v>0</v>
      </c>
      <c r="J43" s="79">
        <v>238</v>
      </c>
      <c r="K43" s="79">
        <v>201</v>
      </c>
      <c r="L43" s="79">
        <v>209</v>
      </c>
    </row>
    <row r="44" spans="2:12" s="1" customFormat="1" ht="15.75" x14ac:dyDescent="0.25">
      <c r="B44" s="143"/>
      <c r="C44" s="191"/>
      <c r="D44" s="158"/>
      <c r="E44" s="50" t="s">
        <v>3</v>
      </c>
      <c r="F44" s="49">
        <f>SUM(G44:L44)</f>
        <v>0</v>
      </c>
      <c r="G44" s="51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 s="1" customFormat="1" ht="15.75" x14ac:dyDescent="0.25">
      <c r="B45" s="143"/>
      <c r="C45" s="191"/>
      <c r="D45" s="158"/>
      <c r="E45" s="50" t="s">
        <v>4</v>
      </c>
      <c r="F45" s="49">
        <f t="shared" ref="F45:F46" si="17">SUM(G45:L45)</f>
        <v>0</v>
      </c>
      <c r="G45" s="51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</row>
    <row r="46" spans="2:12" s="1" customFormat="1" ht="15.75" x14ac:dyDescent="0.25">
      <c r="B46" s="144"/>
      <c r="C46" s="192"/>
      <c r="D46" s="158"/>
      <c r="E46" s="52" t="s">
        <v>6</v>
      </c>
      <c r="F46" s="49">
        <f t="shared" si="17"/>
        <v>0</v>
      </c>
      <c r="G46" s="54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</row>
    <row r="47" spans="2:12" s="1" customFormat="1" ht="15.75" x14ac:dyDescent="0.25">
      <c r="B47" s="142" t="s">
        <v>14</v>
      </c>
      <c r="C47" s="188" t="s">
        <v>255</v>
      </c>
      <c r="D47" s="133" t="s">
        <v>1</v>
      </c>
      <c r="E47" s="48" t="s">
        <v>2</v>
      </c>
      <c r="F47" s="49">
        <f t="shared" ref="F47:G47" si="18">SUM(F48:F51)</f>
        <v>16.600000000000001</v>
      </c>
      <c r="G47" s="49">
        <f t="shared" si="18"/>
        <v>2.6</v>
      </c>
      <c r="H47" s="78">
        <f t="shared" ref="H47:L47" si="19">SUM(H48:H51)</f>
        <v>0</v>
      </c>
      <c r="I47" s="78">
        <f t="shared" si="19"/>
        <v>14</v>
      </c>
      <c r="J47" s="78">
        <f t="shared" si="19"/>
        <v>0</v>
      </c>
      <c r="K47" s="78">
        <f t="shared" si="19"/>
        <v>0</v>
      </c>
      <c r="L47" s="78">
        <f t="shared" si="19"/>
        <v>0</v>
      </c>
    </row>
    <row r="48" spans="2:12" s="1" customFormat="1" ht="15.75" x14ac:dyDescent="0.25">
      <c r="B48" s="166"/>
      <c r="C48" s="189"/>
      <c r="D48" s="158"/>
      <c r="E48" s="50" t="s">
        <v>5</v>
      </c>
      <c r="F48" s="49">
        <f t="shared" si="11"/>
        <v>16.600000000000001</v>
      </c>
      <c r="G48" s="51">
        <v>2.6</v>
      </c>
      <c r="H48" s="79">
        <f>4-4</f>
        <v>0</v>
      </c>
      <c r="I48" s="79">
        <v>14</v>
      </c>
      <c r="J48" s="79">
        <v>0</v>
      </c>
      <c r="K48" s="79">
        <v>0</v>
      </c>
      <c r="L48" s="79">
        <v>0</v>
      </c>
    </row>
    <row r="49" spans="2:13" s="1" customFormat="1" ht="15.75" x14ac:dyDescent="0.25">
      <c r="B49" s="166"/>
      <c r="C49" s="189"/>
      <c r="D49" s="158"/>
      <c r="E49" s="50" t="s">
        <v>3</v>
      </c>
      <c r="F49" s="49">
        <f>SUM(G49:L49)</f>
        <v>0</v>
      </c>
      <c r="G49" s="51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</row>
    <row r="50" spans="2:13" s="1" customFormat="1" ht="15.75" x14ac:dyDescent="0.25">
      <c r="B50" s="166"/>
      <c r="C50" s="189"/>
      <c r="D50" s="158"/>
      <c r="E50" s="50" t="s">
        <v>4</v>
      </c>
      <c r="F50" s="49">
        <f t="shared" ref="F50:F51" si="20">SUM(G50:L50)</f>
        <v>0</v>
      </c>
      <c r="G50" s="51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</row>
    <row r="51" spans="2:13" s="1" customFormat="1" ht="15.75" x14ac:dyDescent="0.25">
      <c r="B51" s="167"/>
      <c r="C51" s="190"/>
      <c r="D51" s="158"/>
      <c r="E51" s="52" t="s">
        <v>6</v>
      </c>
      <c r="F51" s="49">
        <f t="shared" si="20"/>
        <v>0</v>
      </c>
      <c r="G51" s="54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</row>
    <row r="52" spans="2:13" s="1" customFormat="1" ht="15.75" x14ac:dyDescent="0.25">
      <c r="B52" s="150" t="s">
        <v>8</v>
      </c>
      <c r="C52" s="172" t="s">
        <v>52</v>
      </c>
      <c r="D52" s="133" t="s">
        <v>1</v>
      </c>
      <c r="E52" s="48" t="s">
        <v>2</v>
      </c>
      <c r="F52" s="49">
        <f>SUM(F53:F56)</f>
        <v>65.900000000000006</v>
      </c>
      <c r="G52" s="49">
        <f t="shared" ref="G52" si="21">SUM(G53:G56)</f>
        <v>5</v>
      </c>
      <c r="H52" s="78">
        <f t="shared" ref="H52:L52" si="22">SUM(H53:H56)</f>
        <v>1.9</v>
      </c>
      <c r="I52" s="78">
        <f t="shared" si="22"/>
        <v>0</v>
      </c>
      <c r="J52" s="78">
        <f t="shared" si="22"/>
        <v>38</v>
      </c>
      <c r="K52" s="78">
        <f t="shared" si="22"/>
        <v>11</v>
      </c>
      <c r="L52" s="78">
        <f t="shared" si="22"/>
        <v>10</v>
      </c>
    </row>
    <row r="53" spans="2:13" s="1" customFormat="1" ht="15.75" x14ac:dyDescent="0.25">
      <c r="B53" s="151"/>
      <c r="C53" s="173"/>
      <c r="D53" s="158"/>
      <c r="E53" s="50" t="s">
        <v>5</v>
      </c>
      <c r="F53" s="49">
        <f>G53+H53+I53+L53+J53+K53</f>
        <v>65.900000000000006</v>
      </c>
      <c r="G53" s="51">
        <f t="shared" ref="G53" si="23">G58</f>
        <v>5</v>
      </c>
      <c r="H53" s="79">
        <f t="shared" ref="H53:L53" si="24">H58</f>
        <v>1.9</v>
      </c>
      <c r="I53" s="79">
        <f t="shared" si="24"/>
        <v>0</v>
      </c>
      <c r="J53" s="79">
        <f t="shared" si="24"/>
        <v>38</v>
      </c>
      <c r="K53" s="79">
        <f t="shared" si="24"/>
        <v>11</v>
      </c>
      <c r="L53" s="79">
        <f t="shared" si="24"/>
        <v>10</v>
      </c>
    </row>
    <row r="54" spans="2:13" s="1" customFormat="1" ht="15.75" x14ac:dyDescent="0.25">
      <c r="B54" s="151"/>
      <c r="C54" s="173"/>
      <c r="D54" s="158"/>
      <c r="E54" s="50" t="s">
        <v>3</v>
      </c>
      <c r="F54" s="49">
        <f>G54+H54+I54+L54+J54+K54</f>
        <v>0</v>
      </c>
      <c r="G54" s="51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</row>
    <row r="55" spans="2:13" s="1" customFormat="1" ht="15.75" x14ac:dyDescent="0.25">
      <c r="B55" s="151"/>
      <c r="C55" s="173"/>
      <c r="D55" s="158"/>
      <c r="E55" s="50" t="s">
        <v>4</v>
      </c>
      <c r="F55" s="49">
        <f>G55+H55+I55+L55+J55+K55</f>
        <v>0</v>
      </c>
      <c r="G55" s="51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</row>
    <row r="56" spans="2:13" s="1" customFormat="1" ht="15.75" x14ac:dyDescent="0.25">
      <c r="B56" s="152"/>
      <c r="C56" s="173"/>
      <c r="D56" s="158"/>
      <c r="E56" s="53" t="s">
        <v>6</v>
      </c>
      <c r="F56" s="49">
        <f>G56+H56+I56+L56+J56+K56</f>
        <v>0</v>
      </c>
      <c r="G56" s="51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</row>
    <row r="57" spans="2:13" s="1" customFormat="1" ht="18.75" customHeight="1" x14ac:dyDescent="0.25">
      <c r="B57" s="163" t="s">
        <v>27</v>
      </c>
      <c r="C57" s="193" t="s">
        <v>254</v>
      </c>
      <c r="D57" s="174" t="s">
        <v>1</v>
      </c>
      <c r="E57" s="48" t="s">
        <v>2</v>
      </c>
      <c r="F57" s="49">
        <f t="shared" ref="F57" si="25">SUM(F58:F61)</f>
        <v>65.900000000000006</v>
      </c>
      <c r="G57" s="49">
        <f t="shared" ref="G57" si="26">SUM(G58:G61)</f>
        <v>5</v>
      </c>
      <c r="H57" s="78">
        <f t="shared" ref="H57:L57" si="27">SUM(H58:H61)</f>
        <v>1.9</v>
      </c>
      <c r="I57" s="78">
        <f t="shared" si="27"/>
        <v>0</v>
      </c>
      <c r="J57" s="78">
        <f t="shared" si="27"/>
        <v>38</v>
      </c>
      <c r="K57" s="78">
        <f t="shared" si="27"/>
        <v>11</v>
      </c>
      <c r="L57" s="78">
        <f t="shared" si="27"/>
        <v>10</v>
      </c>
      <c r="M57" s="24"/>
    </row>
    <row r="58" spans="2:13" s="1" customFormat="1" ht="18.75" customHeight="1" x14ac:dyDescent="0.25">
      <c r="B58" s="164"/>
      <c r="C58" s="194"/>
      <c r="D58" s="175"/>
      <c r="E58" s="50" t="s">
        <v>5</v>
      </c>
      <c r="F58" s="49">
        <f>SUM(G58:L58)</f>
        <v>65.900000000000006</v>
      </c>
      <c r="G58" s="51">
        <v>5</v>
      </c>
      <c r="H58" s="79">
        <v>1.9</v>
      </c>
      <c r="I58" s="79">
        <v>0</v>
      </c>
      <c r="J58" s="79">
        <v>38</v>
      </c>
      <c r="K58" s="79">
        <v>11</v>
      </c>
      <c r="L58" s="79">
        <v>10</v>
      </c>
    </row>
    <row r="59" spans="2:13" s="1" customFormat="1" ht="18.75" customHeight="1" x14ac:dyDescent="0.25">
      <c r="B59" s="143"/>
      <c r="C59" s="194"/>
      <c r="D59" s="175"/>
      <c r="E59" s="50" t="s">
        <v>3</v>
      </c>
      <c r="F59" s="49">
        <f t="shared" si="11"/>
        <v>0</v>
      </c>
      <c r="G59" s="51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</row>
    <row r="60" spans="2:13" s="1" customFormat="1" ht="18.75" customHeight="1" x14ac:dyDescent="0.25">
      <c r="B60" s="143"/>
      <c r="C60" s="194"/>
      <c r="D60" s="175"/>
      <c r="E60" s="50" t="s">
        <v>4</v>
      </c>
      <c r="F60" s="49">
        <f t="shared" si="11"/>
        <v>0</v>
      </c>
      <c r="G60" s="51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</row>
    <row r="61" spans="2:13" s="1" customFormat="1" ht="18.75" customHeight="1" x14ac:dyDescent="0.25">
      <c r="B61" s="144"/>
      <c r="C61" s="195"/>
      <c r="D61" s="175"/>
      <c r="E61" s="53" t="s">
        <v>6</v>
      </c>
      <c r="F61" s="49">
        <f t="shared" si="11"/>
        <v>0</v>
      </c>
      <c r="G61" s="51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</row>
    <row r="62" spans="2:13" s="1" customFormat="1" ht="15.75" x14ac:dyDescent="0.25">
      <c r="B62" s="150">
        <v>4</v>
      </c>
      <c r="C62" s="172" t="s">
        <v>140</v>
      </c>
      <c r="D62" s="133" t="s">
        <v>1</v>
      </c>
      <c r="E62" s="48" t="s">
        <v>2</v>
      </c>
      <c r="F62" s="49">
        <f>SUM(F63:F66)</f>
        <v>979</v>
      </c>
      <c r="G62" s="49">
        <f t="shared" ref="G62" si="28">SUM(G63:G66)</f>
        <v>0</v>
      </c>
      <c r="H62" s="78">
        <f t="shared" ref="H62:L62" si="29">SUM(H63:H66)</f>
        <v>0</v>
      </c>
      <c r="I62" s="78">
        <f t="shared" si="29"/>
        <v>979</v>
      </c>
      <c r="J62" s="78">
        <f t="shared" si="29"/>
        <v>0</v>
      </c>
      <c r="K62" s="78">
        <f t="shared" si="29"/>
        <v>0</v>
      </c>
      <c r="L62" s="78">
        <f t="shared" si="29"/>
        <v>0</v>
      </c>
    </row>
    <row r="63" spans="2:13" s="1" customFormat="1" ht="15.75" x14ac:dyDescent="0.25">
      <c r="B63" s="151"/>
      <c r="C63" s="173"/>
      <c r="D63" s="158"/>
      <c r="E63" s="50" t="s">
        <v>5</v>
      </c>
      <c r="F63" s="49">
        <f>G63+H63+I63+L63+J63+K63</f>
        <v>979</v>
      </c>
      <c r="G63" s="51">
        <f>+G68+G73</f>
        <v>0</v>
      </c>
      <c r="H63" s="79">
        <f t="shared" ref="H63:L66" si="30">+H68+H73</f>
        <v>0</v>
      </c>
      <c r="I63" s="79">
        <f t="shared" si="30"/>
        <v>979</v>
      </c>
      <c r="J63" s="79">
        <f t="shared" si="30"/>
        <v>0</v>
      </c>
      <c r="K63" s="79">
        <f t="shared" si="30"/>
        <v>0</v>
      </c>
      <c r="L63" s="79">
        <f t="shared" si="30"/>
        <v>0</v>
      </c>
    </row>
    <row r="64" spans="2:13" s="1" customFormat="1" ht="15.75" x14ac:dyDescent="0.25">
      <c r="B64" s="151"/>
      <c r="C64" s="173"/>
      <c r="D64" s="158"/>
      <c r="E64" s="50" t="s">
        <v>3</v>
      </c>
      <c r="F64" s="49">
        <f>G64+H64+I64+L64+J64+K64</f>
        <v>0</v>
      </c>
      <c r="G64" s="51">
        <f t="shared" ref="G64:G66" si="31">+G69+G74</f>
        <v>0</v>
      </c>
      <c r="H64" s="79">
        <f t="shared" si="30"/>
        <v>0</v>
      </c>
      <c r="I64" s="79">
        <f t="shared" si="30"/>
        <v>0</v>
      </c>
      <c r="J64" s="79">
        <f t="shared" si="30"/>
        <v>0</v>
      </c>
      <c r="K64" s="79">
        <f t="shared" si="30"/>
        <v>0</v>
      </c>
      <c r="L64" s="79">
        <f t="shared" si="30"/>
        <v>0</v>
      </c>
    </row>
    <row r="65" spans="2:15" s="1" customFormat="1" ht="15.75" x14ac:dyDescent="0.25">
      <c r="B65" s="151"/>
      <c r="C65" s="173"/>
      <c r="D65" s="158"/>
      <c r="E65" s="50" t="s">
        <v>4</v>
      </c>
      <c r="F65" s="49">
        <f>G65+H65+I65+L65+J65+K65</f>
        <v>0</v>
      </c>
      <c r="G65" s="51">
        <f t="shared" si="31"/>
        <v>0</v>
      </c>
      <c r="H65" s="79">
        <f t="shared" si="30"/>
        <v>0</v>
      </c>
      <c r="I65" s="79">
        <f t="shared" si="30"/>
        <v>0</v>
      </c>
      <c r="J65" s="79">
        <f t="shared" si="30"/>
        <v>0</v>
      </c>
      <c r="K65" s="79">
        <f t="shared" si="30"/>
        <v>0</v>
      </c>
      <c r="L65" s="79">
        <f t="shared" si="30"/>
        <v>0</v>
      </c>
    </row>
    <row r="66" spans="2:15" s="1" customFormat="1" ht="15.75" x14ac:dyDescent="0.25">
      <c r="B66" s="152"/>
      <c r="C66" s="173"/>
      <c r="D66" s="158"/>
      <c r="E66" s="53" t="s">
        <v>6</v>
      </c>
      <c r="F66" s="49">
        <f>G66+H66+I66+L66+J66+K66</f>
        <v>0</v>
      </c>
      <c r="G66" s="51">
        <f t="shared" si="31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</row>
    <row r="67" spans="2:15" s="1" customFormat="1" ht="15.75" x14ac:dyDescent="0.25">
      <c r="B67" s="171" t="s">
        <v>156</v>
      </c>
      <c r="C67" s="145" t="s">
        <v>208</v>
      </c>
      <c r="D67" s="133" t="s">
        <v>1</v>
      </c>
      <c r="E67" s="48" t="s">
        <v>2</v>
      </c>
      <c r="F67" s="49">
        <f>SUM(F68:F71)</f>
        <v>979</v>
      </c>
      <c r="G67" s="49">
        <f t="shared" ref="G67" si="32">SUM(G68:G71)</f>
        <v>0</v>
      </c>
      <c r="H67" s="78">
        <f t="shared" ref="H67:L67" si="33">SUM(H68:H71)</f>
        <v>0</v>
      </c>
      <c r="I67" s="78">
        <f t="shared" si="33"/>
        <v>979</v>
      </c>
      <c r="J67" s="78">
        <f t="shared" si="33"/>
        <v>0</v>
      </c>
      <c r="K67" s="78">
        <f t="shared" si="33"/>
        <v>0</v>
      </c>
      <c r="L67" s="78">
        <f t="shared" si="33"/>
        <v>0</v>
      </c>
    </row>
    <row r="68" spans="2:15" s="1" customFormat="1" ht="15.75" x14ac:dyDescent="0.25">
      <c r="B68" s="143"/>
      <c r="C68" s="146"/>
      <c r="D68" s="158"/>
      <c r="E68" s="50" t="s">
        <v>5</v>
      </c>
      <c r="F68" s="49">
        <f>G68+H68+I68+L68+J68+K68</f>
        <v>979</v>
      </c>
      <c r="G68" s="51">
        <v>0</v>
      </c>
      <c r="H68" s="79">
        <v>0</v>
      </c>
      <c r="I68" s="79">
        <v>979</v>
      </c>
      <c r="J68" s="79">
        <v>0</v>
      </c>
      <c r="K68" s="79">
        <v>0</v>
      </c>
      <c r="L68" s="79">
        <v>0</v>
      </c>
    </row>
    <row r="69" spans="2:15" s="1" customFormat="1" ht="15.75" x14ac:dyDescent="0.25">
      <c r="B69" s="143"/>
      <c r="C69" s="146"/>
      <c r="D69" s="158"/>
      <c r="E69" s="50" t="s">
        <v>3</v>
      </c>
      <c r="F69" s="49">
        <f>G69+H69+I69+L69+J69+K69</f>
        <v>0</v>
      </c>
      <c r="G69" s="51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</row>
    <row r="70" spans="2:15" s="1" customFormat="1" ht="15.75" x14ac:dyDescent="0.25">
      <c r="B70" s="143"/>
      <c r="C70" s="146"/>
      <c r="D70" s="158"/>
      <c r="E70" s="50" t="s">
        <v>4</v>
      </c>
      <c r="F70" s="49">
        <f>G70+H70+I70+L70+J70+K70</f>
        <v>0</v>
      </c>
      <c r="G70" s="51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</row>
    <row r="71" spans="2:15" s="1" customFormat="1" ht="15.75" x14ac:dyDescent="0.25">
      <c r="B71" s="144"/>
      <c r="C71" s="147"/>
      <c r="D71" s="158"/>
      <c r="E71" s="53" t="s">
        <v>6</v>
      </c>
      <c r="F71" s="49">
        <f>G71+H71+I71+L71+J71+K71</f>
        <v>0</v>
      </c>
      <c r="G71" s="51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</row>
    <row r="72" spans="2:15" s="1" customFormat="1" ht="15.75" x14ac:dyDescent="0.25">
      <c r="B72" s="142" t="s">
        <v>157</v>
      </c>
      <c r="C72" s="145" t="s">
        <v>155</v>
      </c>
      <c r="D72" s="133" t="s">
        <v>1</v>
      </c>
      <c r="E72" s="48" t="s">
        <v>2</v>
      </c>
      <c r="F72" s="49">
        <f>SUM(F73:F76)</f>
        <v>0</v>
      </c>
      <c r="G72" s="49">
        <f t="shared" ref="G72" si="34">SUM(G73:G76)</f>
        <v>0</v>
      </c>
      <c r="H72" s="78">
        <f t="shared" ref="H72:L72" si="35">SUM(H73:H76)</f>
        <v>0</v>
      </c>
      <c r="I72" s="78">
        <f t="shared" si="35"/>
        <v>0</v>
      </c>
      <c r="J72" s="78">
        <f t="shared" si="35"/>
        <v>0</v>
      </c>
      <c r="K72" s="78">
        <f t="shared" si="35"/>
        <v>0</v>
      </c>
      <c r="L72" s="78">
        <f t="shared" si="35"/>
        <v>0</v>
      </c>
    </row>
    <row r="73" spans="2:15" s="1" customFormat="1" ht="15.75" x14ac:dyDescent="0.25">
      <c r="B73" s="143"/>
      <c r="C73" s="146"/>
      <c r="D73" s="158"/>
      <c r="E73" s="50" t="s">
        <v>5</v>
      </c>
      <c r="F73" s="49">
        <f>G73+H73+I73+L73+J73+K73</f>
        <v>0</v>
      </c>
      <c r="G73" s="51">
        <v>0</v>
      </c>
      <c r="H73" s="79">
        <v>0</v>
      </c>
      <c r="I73" s="79">
        <f>226-160-66</f>
        <v>0</v>
      </c>
      <c r="J73" s="79">
        <f>226-160-66</f>
        <v>0</v>
      </c>
      <c r="K73" s="79">
        <f>226-160-66</f>
        <v>0</v>
      </c>
      <c r="L73" s="79">
        <f>226-160-66</f>
        <v>0</v>
      </c>
    </row>
    <row r="74" spans="2:15" s="1" customFormat="1" ht="15.75" x14ac:dyDescent="0.25">
      <c r="B74" s="143"/>
      <c r="C74" s="146"/>
      <c r="D74" s="158"/>
      <c r="E74" s="50" t="s">
        <v>3</v>
      </c>
      <c r="F74" s="49">
        <f>G74+H74+I74+L74+J74+K74</f>
        <v>0</v>
      </c>
      <c r="G74" s="51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</row>
    <row r="75" spans="2:15" s="1" customFormat="1" ht="15.75" x14ac:dyDescent="0.25">
      <c r="B75" s="143"/>
      <c r="C75" s="146"/>
      <c r="D75" s="158"/>
      <c r="E75" s="50" t="s">
        <v>4</v>
      </c>
      <c r="F75" s="49">
        <f>G75+H75+I75+L75+J75+K75</f>
        <v>0</v>
      </c>
      <c r="G75" s="51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</row>
    <row r="76" spans="2:15" s="1" customFormat="1" ht="15.75" x14ac:dyDescent="0.25">
      <c r="B76" s="144"/>
      <c r="C76" s="147"/>
      <c r="D76" s="158"/>
      <c r="E76" s="53" t="s">
        <v>6</v>
      </c>
      <c r="F76" s="49">
        <f>G76+H76+I76+L76+J76+K76</f>
        <v>0</v>
      </c>
      <c r="G76" s="51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</row>
    <row r="77" spans="2:15" s="81" customFormat="1" ht="51" customHeight="1" x14ac:dyDescent="0.25">
      <c r="B77" s="80"/>
      <c r="C77" s="199" t="s">
        <v>196</v>
      </c>
      <c r="D77" s="199"/>
      <c r="E77" s="199"/>
      <c r="F77" s="199"/>
      <c r="G77" s="199"/>
      <c r="H77" s="199"/>
      <c r="I77" s="199"/>
      <c r="J77" s="199"/>
      <c r="K77" s="199"/>
      <c r="L77" s="199"/>
    </row>
    <row r="78" spans="2:15" s="81" customFormat="1" ht="15.75" x14ac:dyDescent="0.25">
      <c r="B78" s="200">
        <v>1</v>
      </c>
      <c r="C78" s="201" t="s">
        <v>197</v>
      </c>
      <c r="D78" s="187" t="s">
        <v>1</v>
      </c>
      <c r="E78" s="82" t="s">
        <v>2</v>
      </c>
      <c r="F78" s="78">
        <f t="shared" ref="F78:L78" si="36">SUM(F79:F82)</f>
        <v>163324.09999999998</v>
      </c>
      <c r="G78" s="78">
        <f t="shared" si="36"/>
        <v>0</v>
      </c>
      <c r="H78" s="78">
        <f t="shared" si="36"/>
        <v>5222.8999999999996</v>
      </c>
      <c r="I78" s="78">
        <f t="shared" si="36"/>
        <v>21478.7</v>
      </c>
      <c r="J78" s="78">
        <f t="shared" si="36"/>
        <v>38496</v>
      </c>
      <c r="K78" s="78">
        <f t="shared" si="36"/>
        <v>49542.5</v>
      </c>
      <c r="L78" s="78">
        <f t="shared" si="36"/>
        <v>48584</v>
      </c>
      <c r="O78" s="95"/>
    </row>
    <row r="79" spans="2:15" s="81" customFormat="1" ht="15.75" x14ac:dyDescent="0.25">
      <c r="B79" s="200"/>
      <c r="C79" s="201"/>
      <c r="D79" s="187"/>
      <c r="E79" s="83" t="s">
        <v>5</v>
      </c>
      <c r="F79" s="78">
        <f>G79+H79+I79+L79+J79+K79</f>
        <v>112582.7</v>
      </c>
      <c r="G79" s="79">
        <f t="shared" ref="G79:L82" si="37">+G84+G89+G94</f>
        <v>0</v>
      </c>
      <c r="H79" s="79">
        <f t="shared" si="37"/>
        <v>3157.3</v>
      </c>
      <c r="I79" s="79">
        <f t="shared" si="37"/>
        <v>11215.2</v>
      </c>
      <c r="J79" s="79">
        <f>+J84+J89+J94</f>
        <v>20910.2</v>
      </c>
      <c r="K79" s="79">
        <f t="shared" si="37"/>
        <v>38650</v>
      </c>
      <c r="L79" s="79">
        <f t="shared" si="37"/>
        <v>38650</v>
      </c>
    </row>
    <row r="80" spans="2:15" s="81" customFormat="1" ht="15.75" x14ac:dyDescent="0.25">
      <c r="B80" s="200"/>
      <c r="C80" s="201"/>
      <c r="D80" s="187"/>
      <c r="E80" s="83" t="s">
        <v>3</v>
      </c>
      <c r="F80" s="78">
        <f>G80+H80+I80+L80+J80+K80</f>
        <v>50741.399999999994</v>
      </c>
      <c r="G80" s="79">
        <f t="shared" si="37"/>
        <v>0</v>
      </c>
      <c r="H80" s="79">
        <f t="shared" si="37"/>
        <v>2065.6</v>
      </c>
      <c r="I80" s="79">
        <f t="shared" si="37"/>
        <v>10263.5</v>
      </c>
      <c r="J80" s="79">
        <f t="shared" si="37"/>
        <v>17585.8</v>
      </c>
      <c r="K80" s="79">
        <f t="shared" si="37"/>
        <v>10892.5</v>
      </c>
      <c r="L80" s="79">
        <f t="shared" si="37"/>
        <v>9934</v>
      </c>
    </row>
    <row r="81" spans="2:12" s="81" customFormat="1" ht="15.75" x14ac:dyDescent="0.25">
      <c r="B81" s="200"/>
      <c r="C81" s="201"/>
      <c r="D81" s="187"/>
      <c r="E81" s="83" t="s">
        <v>4</v>
      </c>
      <c r="F81" s="78">
        <f>G81+H81+I81+L81+J81+K81</f>
        <v>0</v>
      </c>
      <c r="G81" s="79">
        <f t="shared" si="37"/>
        <v>0</v>
      </c>
      <c r="H81" s="79">
        <f t="shared" si="37"/>
        <v>0</v>
      </c>
      <c r="I81" s="79">
        <f t="shared" si="37"/>
        <v>0</v>
      </c>
      <c r="J81" s="79">
        <f t="shared" si="37"/>
        <v>0</v>
      </c>
      <c r="K81" s="79">
        <f t="shared" si="37"/>
        <v>0</v>
      </c>
      <c r="L81" s="79">
        <f t="shared" si="37"/>
        <v>0</v>
      </c>
    </row>
    <row r="82" spans="2:12" s="81" customFormat="1" ht="15.75" x14ac:dyDescent="0.25">
      <c r="B82" s="200"/>
      <c r="C82" s="201"/>
      <c r="D82" s="187"/>
      <c r="E82" s="84" t="s">
        <v>6</v>
      </c>
      <c r="F82" s="78">
        <f>G82+H82+I82+L82+J82+K82</f>
        <v>0</v>
      </c>
      <c r="G82" s="79">
        <f t="shared" si="37"/>
        <v>0</v>
      </c>
      <c r="H82" s="79">
        <f t="shared" si="37"/>
        <v>0</v>
      </c>
      <c r="I82" s="79">
        <f t="shared" si="37"/>
        <v>0</v>
      </c>
      <c r="J82" s="79">
        <f t="shared" si="37"/>
        <v>0</v>
      </c>
      <c r="K82" s="79">
        <f t="shared" si="37"/>
        <v>0</v>
      </c>
      <c r="L82" s="79">
        <f t="shared" si="37"/>
        <v>0</v>
      </c>
    </row>
    <row r="83" spans="2:12" s="81" customFormat="1" ht="15.75" x14ac:dyDescent="0.25">
      <c r="B83" s="202" t="s">
        <v>214</v>
      </c>
      <c r="C83" s="186" t="s">
        <v>198</v>
      </c>
      <c r="D83" s="187" t="s">
        <v>1</v>
      </c>
      <c r="E83" s="82" t="s">
        <v>2</v>
      </c>
      <c r="F83" s="78">
        <f t="shared" ref="F83:L83" si="38">SUM(F84:F87)</f>
        <v>7000</v>
      </c>
      <c r="G83" s="78">
        <f t="shared" si="38"/>
        <v>0</v>
      </c>
      <c r="H83" s="78">
        <f t="shared" si="38"/>
        <v>0</v>
      </c>
      <c r="I83" s="78">
        <f t="shared" si="38"/>
        <v>0</v>
      </c>
      <c r="J83" s="78">
        <f t="shared" si="38"/>
        <v>1000</v>
      </c>
      <c r="K83" s="78">
        <f t="shared" si="38"/>
        <v>3000</v>
      </c>
      <c r="L83" s="78">
        <f t="shared" si="38"/>
        <v>3000</v>
      </c>
    </row>
    <row r="84" spans="2:12" s="81" customFormat="1" ht="15.75" x14ac:dyDescent="0.25">
      <c r="B84" s="203"/>
      <c r="C84" s="186"/>
      <c r="D84" s="187"/>
      <c r="E84" s="83" t="s">
        <v>5</v>
      </c>
      <c r="F84" s="78">
        <f>G84+H84+I84+L84+J84+K84</f>
        <v>7000</v>
      </c>
      <c r="G84" s="79">
        <v>0</v>
      </c>
      <c r="H84" s="79">
        <f>933.5-933.5</f>
        <v>0</v>
      </c>
      <c r="I84" s="79">
        <v>0</v>
      </c>
      <c r="J84" s="79">
        <v>1000</v>
      </c>
      <c r="K84" s="79">
        <v>3000</v>
      </c>
      <c r="L84" s="79">
        <v>3000</v>
      </c>
    </row>
    <row r="85" spans="2:12" s="81" customFormat="1" ht="15.75" x14ac:dyDescent="0.25">
      <c r="B85" s="203"/>
      <c r="C85" s="186"/>
      <c r="D85" s="187"/>
      <c r="E85" s="83" t="s">
        <v>3</v>
      </c>
      <c r="F85" s="78">
        <f>G85+H85+I85+L85+J85+K85</f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</row>
    <row r="86" spans="2:12" s="81" customFormat="1" ht="15.75" x14ac:dyDescent="0.25">
      <c r="B86" s="203"/>
      <c r="C86" s="186"/>
      <c r="D86" s="187"/>
      <c r="E86" s="83" t="s">
        <v>4</v>
      </c>
      <c r="F86" s="78">
        <f>G86+H86+I86+L86+J86+K86</f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79">
        <v>0</v>
      </c>
    </row>
    <row r="87" spans="2:12" s="81" customFormat="1" ht="15.75" x14ac:dyDescent="0.25">
      <c r="B87" s="203"/>
      <c r="C87" s="186"/>
      <c r="D87" s="187"/>
      <c r="E87" s="84" t="s">
        <v>6</v>
      </c>
      <c r="F87" s="78">
        <f>G87+H87+I87+L87+J87+K87</f>
        <v>0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  <c r="L87" s="79">
        <v>0</v>
      </c>
    </row>
    <row r="88" spans="2:12" s="81" customFormat="1" ht="15.75" x14ac:dyDescent="0.25">
      <c r="B88" s="202" t="s">
        <v>215</v>
      </c>
      <c r="C88" s="186" t="s">
        <v>199</v>
      </c>
      <c r="D88" s="187" t="s">
        <v>1</v>
      </c>
      <c r="E88" s="82" t="s">
        <v>2</v>
      </c>
      <c r="F88" s="78">
        <f t="shared" ref="F88:L88" si="39">SUM(F89:F92)</f>
        <v>2000</v>
      </c>
      <c r="G88" s="78">
        <f t="shared" si="39"/>
        <v>0</v>
      </c>
      <c r="H88" s="78">
        <f t="shared" si="39"/>
        <v>0</v>
      </c>
      <c r="I88" s="78">
        <f t="shared" si="39"/>
        <v>0</v>
      </c>
      <c r="J88" s="78">
        <f t="shared" si="39"/>
        <v>0</v>
      </c>
      <c r="K88" s="78">
        <f t="shared" si="39"/>
        <v>1000</v>
      </c>
      <c r="L88" s="78">
        <f t="shared" si="39"/>
        <v>1000</v>
      </c>
    </row>
    <row r="89" spans="2:12" s="81" customFormat="1" ht="15.75" x14ac:dyDescent="0.25">
      <c r="B89" s="203"/>
      <c r="C89" s="186"/>
      <c r="D89" s="187"/>
      <c r="E89" s="83" t="s">
        <v>5</v>
      </c>
      <c r="F89" s="78">
        <f>G89+H89+I89+L89+J89+K89</f>
        <v>2000</v>
      </c>
      <c r="G89" s="79">
        <v>0</v>
      </c>
      <c r="H89" s="79">
        <f>311.2-311.2</f>
        <v>0</v>
      </c>
      <c r="I89" s="79">
        <v>0</v>
      </c>
      <c r="J89" s="79">
        <v>0</v>
      </c>
      <c r="K89" s="79">
        <v>1000</v>
      </c>
      <c r="L89" s="79">
        <v>1000</v>
      </c>
    </row>
    <row r="90" spans="2:12" s="81" customFormat="1" ht="15.75" x14ac:dyDescent="0.25">
      <c r="B90" s="203"/>
      <c r="C90" s="186"/>
      <c r="D90" s="187"/>
      <c r="E90" s="83" t="s">
        <v>3</v>
      </c>
      <c r="F90" s="78">
        <f>G90+H90+I90+L90+J90+K90</f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</row>
    <row r="91" spans="2:12" s="81" customFormat="1" ht="15.75" x14ac:dyDescent="0.25">
      <c r="B91" s="203"/>
      <c r="C91" s="186"/>
      <c r="D91" s="187"/>
      <c r="E91" s="83" t="s">
        <v>4</v>
      </c>
      <c r="F91" s="78">
        <f>G91+H91+I91+L91+J91+K91</f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</row>
    <row r="92" spans="2:12" s="81" customFormat="1" ht="15.75" x14ac:dyDescent="0.25">
      <c r="B92" s="203"/>
      <c r="C92" s="186"/>
      <c r="D92" s="187"/>
      <c r="E92" s="84" t="s">
        <v>6</v>
      </c>
      <c r="F92" s="78">
        <f>G92+H92+I92+L92+J92+K92</f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</row>
    <row r="93" spans="2:12" s="81" customFormat="1" ht="15.75" x14ac:dyDescent="0.25">
      <c r="B93" s="202" t="s">
        <v>216</v>
      </c>
      <c r="C93" s="186" t="s">
        <v>200</v>
      </c>
      <c r="D93" s="187" t="s">
        <v>1</v>
      </c>
      <c r="E93" s="82" t="s">
        <v>2</v>
      </c>
      <c r="F93" s="78">
        <f t="shared" ref="F93:L93" si="40">SUM(F94:F97)</f>
        <v>154324.09999999998</v>
      </c>
      <c r="G93" s="78">
        <f t="shared" si="40"/>
        <v>0</v>
      </c>
      <c r="H93" s="78">
        <f t="shared" si="40"/>
        <v>5222.8999999999996</v>
      </c>
      <c r="I93" s="78">
        <f t="shared" si="40"/>
        <v>21478.7</v>
      </c>
      <c r="J93" s="78">
        <f t="shared" si="40"/>
        <v>37496</v>
      </c>
      <c r="K93" s="78">
        <f t="shared" si="40"/>
        <v>45542.5</v>
      </c>
      <c r="L93" s="78">
        <f t="shared" si="40"/>
        <v>44584</v>
      </c>
    </row>
    <row r="94" spans="2:12" s="81" customFormat="1" ht="15.75" x14ac:dyDescent="0.25">
      <c r="B94" s="203"/>
      <c r="C94" s="186"/>
      <c r="D94" s="187"/>
      <c r="E94" s="83" t="s">
        <v>5</v>
      </c>
      <c r="F94" s="78">
        <f>G94+H94+I94+L94+J94+K94</f>
        <v>103582.7</v>
      </c>
      <c r="G94" s="79">
        <v>0</v>
      </c>
      <c r="H94" s="79">
        <v>3157.3</v>
      </c>
      <c r="I94" s="79">
        <v>11215.2</v>
      </c>
      <c r="J94" s="79">
        <v>19910.2</v>
      </c>
      <c r="K94" s="79">
        <v>34650</v>
      </c>
      <c r="L94" s="79">
        <v>34650</v>
      </c>
    </row>
    <row r="95" spans="2:12" s="81" customFormat="1" ht="15.75" x14ac:dyDescent="0.25">
      <c r="B95" s="203"/>
      <c r="C95" s="186"/>
      <c r="D95" s="187"/>
      <c r="E95" s="83" t="s">
        <v>3</v>
      </c>
      <c r="F95" s="78">
        <f>G95+H95+I95+L95+J95+K95</f>
        <v>50741.399999999994</v>
      </c>
      <c r="G95" s="79">
        <v>0</v>
      </c>
      <c r="H95" s="79">
        <v>2065.6</v>
      </c>
      <c r="I95" s="79">
        <v>10263.5</v>
      </c>
      <c r="J95" s="79">
        <v>17585.8</v>
      </c>
      <c r="K95" s="79">
        <v>10892.5</v>
      </c>
      <c r="L95" s="79">
        <v>9934</v>
      </c>
    </row>
    <row r="96" spans="2:12" s="81" customFormat="1" ht="15.75" x14ac:dyDescent="0.25">
      <c r="B96" s="203"/>
      <c r="C96" s="186"/>
      <c r="D96" s="187"/>
      <c r="E96" s="83" t="s">
        <v>4</v>
      </c>
      <c r="F96" s="78">
        <f>G96+H96+I96+L96+J96+K96</f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</row>
    <row r="97" spans="2:13" s="81" customFormat="1" ht="15.75" x14ac:dyDescent="0.25">
      <c r="B97" s="203"/>
      <c r="C97" s="186"/>
      <c r="D97" s="187"/>
      <c r="E97" s="84" t="s">
        <v>6</v>
      </c>
      <c r="F97" s="78">
        <f>G97+H97+I97+L97+J97+K97</f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</row>
    <row r="98" spans="2:13" s="1" customFormat="1" ht="16.5" customHeight="1" x14ac:dyDescent="0.25">
      <c r="B98" s="150"/>
      <c r="C98" s="196"/>
      <c r="D98" s="174" t="s">
        <v>1</v>
      </c>
      <c r="E98" s="55" t="s">
        <v>2</v>
      </c>
      <c r="F98" s="49">
        <f t="shared" ref="F98:G98" si="41">SUM(F99:F102)</f>
        <v>280927.40000000002</v>
      </c>
      <c r="G98" s="49">
        <f t="shared" si="41"/>
        <v>36669.5</v>
      </c>
      <c r="H98" s="78">
        <f t="shared" ref="H98:L98" si="42">SUM(H99:H102)</f>
        <v>41449.800000000003</v>
      </c>
      <c r="I98" s="78">
        <f t="shared" si="42"/>
        <v>44769.1</v>
      </c>
      <c r="J98" s="78">
        <f t="shared" si="42"/>
        <v>56912.5</v>
      </c>
      <c r="K98" s="78">
        <f t="shared" si="42"/>
        <v>50964.5</v>
      </c>
      <c r="L98" s="78">
        <f t="shared" si="42"/>
        <v>50162</v>
      </c>
    </row>
    <row r="99" spans="2:13" s="1" customFormat="1" ht="16.5" customHeight="1" x14ac:dyDescent="0.25">
      <c r="B99" s="151"/>
      <c r="C99" s="197"/>
      <c r="D99" s="175"/>
      <c r="E99" s="55" t="s">
        <v>5</v>
      </c>
      <c r="F99" s="49">
        <f>SUM(G99:L99)</f>
        <v>210566.9</v>
      </c>
      <c r="G99" s="56">
        <f>G18+G33+G53+G63</f>
        <v>30748.400000000001</v>
      </c>
      <c r="H99" s="85">
        <f>H18+H33+H53+H63+H79</f>
        <v>30350</v>
      </c>
      <c r="I99" s="85">
        <f t="shared" ref="I99:L99" si="43">I18+I33+I53+I63+I79</f>
        <v>29841.8</v>
      </c>
      <c r="J99" s="85">
        <f t="shared" si="43"/>
        <v>39326.699999999997</v>
      </c>
      <c r="K99" s="85">
        <f t="shared" si="43"/>
        <v>40072</v>
      </c>
      <c r="L99" s="85">
        <f t="shared" si="43"/>
        <v>40228</v>
      </c>
    </row>
    <row r="100" spans="2:13" s="1" customFormat="1" ht="16.5" customHeight="1" x14ac:dyDescent="0.25">
      <c r="B100" s="151"/>
      <c r="C100" s="197"/>
      <c r="D100" s="175"/>
      <c r="E100" s="55" t="s">
        <v>3</v>
      </c>
      <c r="F100" s="49">
        <f t="shared" ref="F100:F102" si="44">SUM(G100:L100)</f>
        <v>70360.5</v>
      </c>
      <c r="G100" s="56">
        <f>G19+G34+G54+G64</f>
        <v>5921.1</v>
      </c>
      <c r="H100" s="85">
        <f>H19+H34+H54+H64+H80</f>
        <v>11099.8</v>
      </c>
      <c r="I100" s="85">
        <f t="shared" ref="I100:L102" si="45">I19+I34+I54+I64+I80</f>
        <v>14927.3</v>
      </c>
      <c r="J100" s="85">
        <f t="shared" si="45"/>
        <v>17585.8</v>
      </c>
      <c r="K100" s="85">
        <f t="shared" si="45"/>
        <v>10892.5</v>
      </c>
      <c r="L100" s="85">
        <f t="shared" si="45"/>
        <v>9934</v>
      </c>
    </row>
    <row r="101" spans="2:13" s="1" customFormat="1" ht="16.5" customHeight="1" x14ac:dyDescent="0.25">
      <c r="B101" s="151"/>
      <c r="C101" s="197"/>
      <c r="D101" s="175"/>
      <c r="E101" s="55" t="s">
        <v>4</v>
      </c>
      <c r="F101" s="49">
        <f t="shared" si="44"/>
        <v>0</v>
      </c>
      <c r="G101" s="56">
        <f>G20+G35+G55+G65</f>
        <v>0</v>
      </c>
      <c r="H101" s="85">
        <f>H20+H35+H55+H65+H81</f>
        <v>0</v>
      </c>
      <c r="I101" s="85">
        <f t="shared" si="45"/>
        <v>0</v>
      </c>
      <c r="J101" s="85">
        <f t="shared" si="45"/>
        <v>0</v>
      </c>
      <c r="K101" s="85">
        <f t="shared" si="45"/>
        <v>0</v>
      </c>
      <c r="L101" s="85">
        <f t="shared" si="45"/>
        <v>0</v>
      </c>
    </row>
    <row r="102" spans="2:13" s="1" customFormat="1" ht="16.5" customHeight="1" x14ac:dyDescent="0.25">
      <c r="B102" s="152"/>
      <c r="C102" s="198"/>
      <c r="D102" s="176"/>
      <c r="E102" s="57" t="s">
        <v>6</v>
      </c>
      <c r="F102" s="49">
        <f t="shared" si="44"/>
        <v>0</v>
      </c>
      <c r="G102" s="56">
        <f>G21+G36+G56+G66</f>
        <v>0</v>
      </c>
      <c r="H102" s="85">
        <f>H21+H36+H56+H66+H82</f>
        <v>0</v>
      </c>
      <c r="I102" s="85">
        <f t="shared" si="45"/>
        <v>0</v>
      </c>
      <c r="J102" s="85">
        <f t="shared" si="45"/>
        <v>0</v>
      </c>
      <c r="K102" s="85">
        <f t="shared" si="45"/>
        <v>0</v>
      </c>
      <c r="L102" s="85">
        <f t="shared" si="45"/>
        <v>0</v>
      </c>
    </row>
    <row r="103" spans="2:13" s="1" customFormat="1" ht="10.5" customHeight="1" x14ac:dyDescent="0.25">
      <c r="F103" s="58"/>
      <c r="G103" s="59"/>
      <c r="H103" s="59"/>
      <c r="I103" s="59"/>
      <c r="J103" s="59"/>
      <c r="K103" s="59"/>
      <c r="L103" s="59"/>
      <c r="M103" s="1" t="s">
        <v>122</v>
      </c>
    </row>
    <row r="104" spans="2:13" ht="25.5" customHeight="1" x14ac:dyDescent="0.2"/>
    <row r="105" spans="2:13" ht="25.5" customHeight="1" x14ac:dyDescent="0.2"/>
    <row r="106" spans="2:13" ht="25.5" customHeight="1" x14ac:dyDescent="0.2"/>
    <row r="107" spans="2:13" ht="25.5" customHeight="1" x14ac:dyDescent="0.2"/>
    <row r="108" spans="2:13" ht="25.5" customHeight="1" x14ac:dyDescent="0.2"/>
    <row r="109" spans="2:13" ht="25.5" customHeight="1" x14ac:dyDescent="0.2"/>
    <row r="110" spans="2:13" ht="25.5" customHeight="1" x14ac:dyDescent="0.2"/>
    <row r="111" spans="2:13" ht="25.5" customHeight="1" x14ac:dyDescent="0.2"/>
    <row r="112" spans="2:13" ht="25.5" customHeight="1" x14ac:dyDescent="0.2"/>
    <row r="113" ht="25.5" customHeight="1" x14ac:dyDescent="0.2"/>
    <row r="114" ht="25.5" customHeight="1" x14ac:dyDescent="0.2"/>
    <row r="115" ht="25.5" customHeight="1" x14ac:dyDescent="0.2"/>
    <row r="116" ht="25.5" customHeight="1" x14ac:dyDescent="0.2"/>
    <row r="117" ht="25.5" customHeight="1" x14ac:dyDescent="0.2"/>
    <row r="118" ht="25.5" customHeight="1" x14ac:dyDescent="0.2"/>
    <row r="119" ht="25.5" customHeight="1" x14ac:dyDescent="0.2"/>
    <row r="120" ht="25.5" customHeight="1" x14ac:dyDescent="0.2"/>
    <row r="121" ht="25.5" customHeight="1" x14ac:dyDescent="0.2"/>
    <row r="122" ht="25.5" customHeight="1" x14ac:dyDescent="0.2"/>
    <row r="123" ht="25.5" customHeight="1" x14ac:dyDescent="0.2"/>
    <row r="124" ht="25.5" customHeight="1" x14ac:dyDescent="0.2"/>
    <row r="125" ht="25.5" customHeight="1" x14ac:dyDescent="0.2"/>
    <row r="126" ht="25.5" customHeight="1" x14ac:dyDescent="0.2"/>
    <row r="127" ht="25.5" customHeight="1" x14ac:dyDescent="0.2"/>
    <row r="128" ht="25.5" customHeight="1" x14ac:dyDescent="0.2"/>
    <row r="129" ht="25.5" customHeight="1" x14ac:dyDescent="0.2"/>
    <row r="130" ht="25.5" customHeight="1" x14ac:dyDescent="0.2"/>
    <row r="131" ht="25.5" customHeight="1" x14ac:dyDescent="0.2"/>
    <row r="132" ht="25.5" customHeight="1" x14ac:dyDescent="0.2"/>
    <row r="133" ht="25.5" customHeight="1" x14ac:dyDescent="0.2"/>
    <row r="134" ht="25.5" customHeight="1" x14ac:dyDescent="0.2"/>
    <row r="135" ht="25.5" customHeight="1" x14ac:dyDescent="0.2"/>
    <row r="136" ht="25.5" customHeight="1" x14ac:dyDescent="0.2"/>
    <row r="137" ht="25.5" customHeight="1" x14ac:dyDescent="0.2"/>
    <row r="138" ht="25.5" customHeight="1" x14ac:dyDescent="0.2"/>
    <row r="139" ht="25.5" customHeight="1" x14ac:dyDescent="0.2"/>
    <row r="140" ht="25.5" customHeight="1" x14ac:dyDescent="0.2"/>
    <row r="141" ht="25.5" customHeight="1" x14ac:dyDescent="0.2"/>
    <row r="142" ht="25.5" customHeight="1" x14ac:dyDescent="0.2"/>
    <row r="143" ht="25.5" customHeight="1" x14ac:dyDescent="0.2"/>
    <row r="144" ht="25.5" customHeight="1" x14ac:dyDescent="0.2"/>
    <row r="145" ht="25.5" customHeight="1" x14ac:dyDescent="0.2"/>
    <row r="146" ht="25.5" customHeight="1" x14ac:dyDescent="0.2"/>
    <row r="147" ht="25.5" customHeight="1" x14ac:dyDescent="0.2"/>
    <row r="148" ht="25.5" customHeight="1" x14ac:dyDescent="0.2"/>
    <row r="149" ht="23.25" customHeight="1" x14ac:dyDescent="0.2"/>
    <row r="150" ht="23.25" customHeight="1" x14ac:dyDescent="0.2"/>
    <row r="151" ht="23.25" customHeight="1" x14ac:dyDescent="0.2"/>
    <row r="152" ht="23.25" customHeight="1" x14ac:dyDescent="0.2"/>
    <row r="153" ht="23.25" customHeight="1" x14ac:dyDescent="0.2"/>
    <row r="154" ht="12.75" customHeight="1" x14ac:dyDescent="0.2"/>
  </sheetData>
  <mergeCells count="61">
    <mergeCell ref="D93:D97"/>
    <mergeCell ref="C16:L16"/>
    <mergeCell ref="B17:B21"/>
    <mergeCell ref="C17:C21"/>
    <mergeCell ref="D17:D21"/>
    <mergeCell ref="B22:B26"/>
    <mergeCell ref="C22:C26"/>
    <mergeCell ref="D22:D26"/>
    <mergeCell ref="B32:B36"/>
    <mergeCell ref="B67:B71"/>
    <mergeCell ref="C67:C71"/>
    <mergeCell ref="D67:D71"/>
    <mergeCell ref="C32:C36"/>
    <mergeCell ref="D32:D36"/>
    <mergeCell ref="D57:D61"/>
    <mergeCell ref="B52:B56"/>
    <mergeCell ref="C52:C56"/>
    <mergeCell ref="D52:D56"/>
    <mergeCell ref="B10:L10"/>
    <mergeCell ref="B11:L11"/>
    <mergeCell ref="B13:B14"/>
    <mergeCell ref="C13:C14"/>
    <mergeCell ref="D13:D14"/>
    <mergeCell ref="E13:E14"/>
    <mergeCell ref="F13:F14"/>
    <mergeCell ref="G13:L13"/>
    <mergeCell ref="B27:B31"/>
    <mergeCell ref="C27:C31"/>
    <mergeCell ref="D27:D31"/>
    <mergeCell ref="B98:B102"/>
    <mergeCell ref="C98:C102"/>
    <mergeCell ref="D98:D102"/>
    <mergeCell ref="D72:D76"/>
    <mergeCell ref="C72:C76"/>
    <mergeCell ref="B72:B76"/>
    <mergeCell ref="C77:L77"/>
    <mergeCell ref="B78:B82"/>
    <mergeCell ref="C78:C82"/>
    <mergeCell ref="D78:D82"/>
    <mergeCell ref="B83:B87"/>
    <mergeCell ref="C83:C87"/>
    <mergeCell ref="D83:D87"/>
    <mergeCell ref="B88:B92"/>
    <mergeCell ref="B93:B97"/>
    <mergeCell ref="C93:C97"/>
    <mergeCell ref="C88:C92"/>
    <mergeCell ref="D88:D92"/>
    <mergeCell ref="D62:D66"/>
    <mergeCell ref="B37:B41"/>
    <mergeCell ref="C37:C41"/>
    <mergeCell ref="D37:D41"/>
    <mergeCell ref="B42:B46"/>
    <mergeCell ref="C42:C46"/>
    <mergeCell ref="D42:D46"/>
    <mergeCell ref="B47:B51"/>
    <mergeCell ref="C47:C51"/>
    <mergeCell ref="D47:D51"/>
    <mergeCell ref="B57:B61"/>
    <mergeCell ref="B62:B66"/>
    <mergeCell ref="C62:C66"/>
    <mergeCell ref="C57:C61"/>
  </mergeCells>
  <pageMargins left="1.3779527559055118" right="0.39370078740157483" top="0.78740157480314965" bottom="0.39370078740157483" header="0.19685039370078741" footer="0.15748031496062992"/>
  <pageSetup paperSize="9" scale="50" fitToHeight="2" orientation="portrait" r:id="rId1"/>
  <headerFooter alignWithMargins="0"/>
  <rowBreaks count="1" manualBreakCount="1">
    <brk id="8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126"/>
  <sheetViews>
    <sheetView view="pageBreakPreview" zoomScaleNormal="75" zoomScaleSheetLayoutView="100" workbookViewId="0">
      <pane xSplit="5" ySplit="16" topLeftCell="F86" activePane="bottomRight" state="frozen"/>
      <selection activeCell="J55" sqref="J55"/>
      <selection pane="topRight" activeCell="J55" sqref="J55"/>
      <selection pane="bottomLeft" activeCell="J55" sqref="J55"/>
      <selection pane="bottomRight" activeCell="D9" sqref="D9"/>
    </sheetView>
  </sheetViews>
  <sheetFormatPr defaultRowHeight="12.75" x14ac:dyDescent="0.2"/>
  <cols>
    <col min="1" max="1" width="3.28515625" style="2" customWidth="1"/>
    <col min="2" max="2" width="7.42578125" style="2" customWidth="1"/>
    <col min="3" max="3" width="39.85546875" style="2" customWidth="1"/>
    <col min="4" max="4" width="19" style="2" customWidth="1"/>
    <col min="5" max="5" width="19.5703125" style="2" customWidth="1"/>
    <col min="6" max="6" width="10.7109375" style="27" customWidth="1"/>
    <col min="7" max="8" width="9.5703125" style="2" customWidth="1"/>
    <col min="9" max="9" width="9.5703125" style="60" customWidth="1"/>
    <col min="10" max="12" width="9.5703125" style="2" customWidth="1"/>
    <col min="13" max="13" width="3.5703125" style="2" customWidth="1"/>
    <col min="14" max="16384" width="9.140625" style="2"/>
  </cols>
  <sheetData>
    <row r="1" spans="1:12" ht="15.75" x14ac:dyDescent="0.25">
      <c r="F1" s="2"/>
      <c r="G1" s="1" t="s">
        <v>178</v>
      </c>
      <c r="I1" s="2"/>
    </row>
    <row r="2" spans="1:12" ht="15.75" x14ac:dyDescent="0.25">
      <c r="F2" s="2"/>
      <c r="G2" s="1" t="s">
        <v>120</v>
      </c>
      <c r="I2" s="2"/>
    </row>
    <row r="3" spans="1:12" ht="15.75" x14ac:dyDescent="0.25">
      <c r="F3" s="2"/>
      <c r="G3" s="1" t="str">
        <f>+Свод!G3</f>
        <v>№ 587 от 12.08.2022 г.</v>
      </c>
      <c r="I3" s="2"/>
    </row>
    <row r="4" spans="1:12" x14ac:dyDescent="0.2">
      <c r="F4" s="2"/>
      <c r="I4" s="2"/>
    </row>
    <row r="5" spans="1:12" s="1" customFormat="1" ht="15.75" x14ac:dyDescent="0.25">
      <c r="G5" s="1" t="s">
        <v>119</v>
      </c>
    </row>
    <row r="6" spans="1:12" s="1" customFormat="1" ht="15.75" x14ac:dyDescent="0.25">
      <c r="G6" s="1" t="s">
        <v>107</v>
      </c>
    </row>
    <row r="7" spans="1:12" s="1" customFormat="1" ht="15.75" x14ac:dyDescent="0.25">
      <c r="G7" s="1" t="s">
        <v>133</v>
      </c>
    </row>
    <row r="8" spans="1:12" s="1" customFormat="1" ht="15.75" x14ac:dyDescent="0.25">
      <c r="G8" s="1" t="s">
        <v>134</v>
      </c>
    </row>
    <row r="9" spans="1:12" s="1" customFormat="1" ht="9" customHeight="1" x14ac:dyDescent="0.25">
      <c r="G9" s="10"/>
    </row>
    <row r="10" spans="1:12" s="1" customFormat="1" ht="36" customHeight="1" x14ac:dyDescent="0.25">
      <c r="B10" s="159" t="s">
        <v>135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s="1" customFormat="1" ht="17.25" customHeight="1" x14ac:dyDescent="0.25">
      <c r="B11" s="160" t="s">
        <v>131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 s="1" customFormat="1" ht="13.5" customHeight="1" x14ac:dyDescent="0.25">
      <c r="A12" s="1" t="s">
        <v>121</v>
      </c>
      <c r="F12" s="10"/>
    </row>
    <row r="13" spans="1:12" s="1" customFormat="1" ht="15.75" customHeight="1" x14ac:dyDescent="0.25">
      <c r="B13" s="133" t="s">
        <v>30</v>
      </c>
      <c r="C13" s="132" t="s">
        <v>31</v>
      </c>
      <c r="D13" s="132" t="s">
        <v>32</v>
      </c>
      <c r="E13" s="132" t="s">
        <v>33</v>
      </c>
      <c r="F13" s="132" t="s">
        <v>34</v>
      </c>
      <c r="G13" s="129" t="s">
        <v>35</v>
      </c>
      <c r="H13" s="129"/>
      <c r="I13" s="129"/>
      <c r="J13" s="129"/>
      <c r="K13" s="129"/>
      <c r="L13" s="129"/>
    </row>
    <row r="14" spans="1:12" s="1" customFormat="1" ht="63.75" customHeight="1" x14ac:dyDescent="0.25">
      <c r="B14" s="134"/>
      <c r="C14" s="132"/>
      <c r="D14" s="132"/>
      <c r="E14" s="132"/>
      <c r="F14" s="132"/>
      <c r="G14" s="103" t="s">
        <v>38</v>
      </c>
      <c r="H14" s="103" t="s">
        <v>43</v>
      </c>
      <c r="I14" s="103" t="s">
        <v>39</v>
      </c>
      <c r="J14" s="103" t="s">
        <v>150</v>
      </c>
      <c r="K14" s="103" t="s">
        <v>152</v>
      </c>
      <c r="L14" s="103" t="s">
        <v>151</v>
      </c>
    </row>
    <row r="15" spans="1:12" s="1" customFormat="1" ht="11.25" customHeight="1" x14ac:dyDescent="0.25">
      <c r="B15" s="29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</row>
    <row r="16" spans="1:12" s="1" customFormat="1" ht="37.5" customHeight="1" x14ac:dyDescent="0.25">
      <c r="B16" s="105"/>
      <c r="C16" s="138" t="s">
        <v>61</v>
      </c>
      <c r="D16" s="138"/>
      <c r="E16" s="138"/>
      <c r="F16" s="138"/>
      <c r="G16" s="138"/>
      <c r="H16" s="138"/>
      <c r="I16" s="138"/>
      <c r="J16" s="138"/>
      <c r="K16" s="138"/>
      <c r="L16" s="138"/>
    </row>
    <row r="17" spans="2:16" s="1" customFormat="1" ht="15.75" x14ac:dyDescent="0.25">
      <c r="B17" s="129" t="s">
        <v>0</v>
      </c>
      <c r="C17" s="209" t="s">
        <v>62</v>
      </c>
      <c r="D17" s="132" t="s">
        <v>1</v>
      </c>
      <c r="E17" s="48" t="s">
        <v>2</v>
      </c>
      <c r="F17" s="36">
        <f>SUM(F18:F21)</f>
        <v>55450.1</v>
      </c>
      <c r="G17" s="36">
        <f t="shared" ref="G17:H17" si="0">SUM(G18:G21)</f>
        <v>6627.9</v>
      </c>
      <c r="H17" s="36">
        <f t="shared" si="0"/>
        <v>477.69999999999993</v>
      </c>
      <c r="I17" s="36">
        <f t="shared" ref="I17:J17" si="1">SUM(I18:I21)</f>
        <v>10108.299999999999</v>
      </c>
      <c r="J17" s="36">
        <f t="shared" si="1"/>
        <v>12249.400000000001</v>
      </c>
      <c r="K17" s="36">
        <f t="shared" ref="K17:L17" si="2">SUM(K18:K21)</f>
        <v>12738.400000000001</v>
      </c>
      <c r="L17" s="36">
        <f t="shared" si="2"/>
        <v>13248.400000000001</v>
      </c>
    </row>
    <row r="18" spans="2:16" s="1" customFormat="1" ht="15.75" x14ac:dyDescent="0.25">
      <c r="B18" s="129"/>
      <c r="C18" s="209"/>
      <c r="D18" s="132"/>
      <c r="E18" s="50" t="s">
        <v>5</v>
      </c>
      <c r="F18" s="36">
        <f>SUM(G18:L18)</f>
        <v>55450.1</v>
      </c>
      <c r="G18" s="37">
        <f>G23+G28+G33</f>
        <v>6627.9</v>
      </c>
      <c r="H18" s="37">
        <f>H23+H28+H33</f>
        <v>477.69999999999993</v>
      </c>
      <c r="I18" s="37">
        <f t="shared" ref="I18:J18" si="3">I23+I28+I33</f>
        <v>10108.299999999999</v>
      </c>
      <c r="J18" s="37">
        <f t="shared" si="3"/>
        <v>12249.400000000001</v>
      </c>
      <c r="K18" s="37">
        <f t="shared" ref="K18:L18" si="4">K23+K28+K33</f>
        <v>12738.400000000001</v>
      </c>
      <c r="L18" s="37">
        <f t="shared" si="4"/>
        <v>13248.400000000001</v>
      </c>
      <c r="P18" s="59"/>
    </row>
    <row r="19" spans="2:16" s="1" customFormat="1" ht="15.75" x14ac:dyDescent="0.25">
      <c r="B19" s="129"/>
      <c r="C19" s="210"/>
      <c r="D19" s="132"/>
      <c r="E19" s="50" t="s">
        <v>3</v>
      </c>
      <c r="F19" s="36">
        <f t="shared" ref="F19:F20" si="5">SUM(G19:L19)</f>
        <v>0</v>
      </c>
      <c r="G19" s="37">
        <f t="shared" ref="G19:H21" si="6">G24+G29+G34</f>
        <v>0</v>
      </c>
      <c r="H19" s="37">
        <f t="shared" si="6"/>
        <v>0</v>
      </c>
      <c r="I19" s="37">
        <f t="shared" ref="I19:J19" si="7">I24+I29+I34</f>
        <v>0</v>
      </c>
      <c r="J19" s="37">
        <f t="shared" si="7"/>
        <v>0</v>
      </c>
      <c r="K19" s="37">
        <f t="shared" ref="K19:L19" si="8">K24+K29+K34</f>
        <v>0</v>
      </c>
      <c r="L19" s="37">
        <f t="shared" si="8"/>
        <v>0</v>
      </c>
    </row>
    <row r="20" spans="2:16" s="1" customFormat="1" ht="15.75" x14ac:dyDescent="0.25">
      <c r="B20" s="129"/>
      <c r="C20" s="210"/>
      <c r="D20" s="132"/>
      <c r="E20" s="50" t="s">
        <v>4</v>
      </c>
      <c r="F20" s="36">
        <f t="shared" si="5"/>
        <v>0</v>
      </c>
      <c r="G20" s="37">
        <f t="shared" si="6"/>
        <v>0</v>
      </c>
      <c r="H20" s="37">
        <f t="shared" si="6"/>
        <v>0</v>
      </c>
      <c r="I20" s="37">
        <f t="shared" ref="I20:J20" si="9">I25+I30+I35</f>
        <v>0</v>
      </c>
      <c r="J20" s="37">
        <f t="shared" si="9"/>
        <v>0</v>
      </c>
      <c r="K20" s="37">
        <f t="shared" ref="K20:L20" si="10">K25+K30+K35</f>
        <v>0</v>
      </c>
      <c r="L20" s="37">
        <f t="shared" si="10"/>
        <v>0</v>
      </c>
    </row>
    <row r="21" spans="2:16" s="1" customFormat="1" ht="15.75" x14ac:dyDescent="0.25">
      <c r="B21" s="129"/>
      <c r="C21" s="210"/>
      <c r="D21" s="132"/>
      <c r="E21" s="50" t="s">
        <v>6</v>
      </c>
      <c r="F21" s="36">
        <f>SUM(G21:L21)</f>
        <v>0</v>
      </c>
      <c r="G21" s="37">
        <f t="shared" si="6"/>
        <v>0</v>
      </c>
      <c r="H21" s="37">
        <f t="shared" si="6"/>
        <v>0</v>
      </c>
      <c r="I21" s="37">
        <v>0</v>
      </c>
      <c r="J21" s="37">
        <v>0</v>
      </c>
      <c r="K21" s="37">
        <v>0</v>
      </c>
      <c r="L21" s="37">
        <v>0</v>
      </c>
    </row>
    <row r="22" spans="2:16" s="1" customFormat="1" ht="24.75" customHeight="1" x14ac:dyDescent="0.25">
      <c r="B22" s="140" t="s">
        <v>18</v>
      </c>
      <c r="C22" s="211" t="s">
        <v>63</v>
      </c>
      <c r="D22" s="132" t="s">
        <v>1</v>
      </c>
      <c r="E22" s="48" t="s">
        <v>2</v>
      </c>
      <c r="F22" s="36">
        <f>SUM(F23:F26)</f>
        <v>13634.3</v>
      </c>
      <c r="G22" s="36">
        <f t="shared" ref="G22:H22" si="11">SUM(G23:G26)</f>
        <v>1000</v>
      </c>
      <c r="H22" s="36">
        <f t="shared" si="11"/>
        <v>377</v>
      </c>
      <c r="I22" s="36">
        <f t="shared" ref="I22:J22" si="12">SUM(I23:I26)</f>
        <v>1486.3</v>
      </c>
      <c r="J22" s="36">
        <f t="shared" si="12"/>
        <v>3344</v>
      </c>
      <c r="K22" s="36">
        <f t="shared" ref="K22:L22" si="13">SUM(K23:K26)</f>
        <v>3588.5</v>
      </c>
      <c r="L22" s="36">
        <f t="shared" si="13"/>
        <v>3838.5</v>
      </c>
    </row>
    <row r="23" spans="2:16" s="1" customFormat="1" ht="24.75" customHeight="1" x14ac:dyDescent="0.25">
      <c r="B23" s="140"/>
      <c r="C23" s="211"/>
      <c r="D23" s="132"/>
      <c r="E23" s="50" t="s">
        <v>5</v>
      </c>
      <c r="F23" s="36">
        <f t="shared" ref="F23" si="14">SUM(G23:L23)</f>
        <v>13634.3</v>
      </c>
      <c r="G23" s="37">
        <v>1000</v>
      </c>
      <c r="H23" s="37">
        <f>6+946+125+1000-1700</f>
        <v>377</v>
      </c>
      <c r="I23" s="37">
        <v>1486.3</v>
      </c>
      <c r="J23" s="37">
        <f>238+1000+168+1340+128+238+232</f>
        <v>3344</v>
      </c>
      <c r="K23" s="37">
        <v>3588.5</v>
      </c>
      <c r="L23" s="37">
        <v>3838.5</v>
      </c>
    </row>
    <row r="24" spans="2:16" s="1" customFormat="1" ht="24.75" customHeight="1" x14ac:dyDescent="0.25">
      <c r="B24" s="140"/>
      <c r="C24" s="211"/>
      <c r="D24" s="132"/>
      <c r="E24" s="50" t="s">
        <v>3</v>
      </c>
      <c r="F24" s="36">
        <f>SUM(G24:L24)</f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</row>
    <row r="25" spans="2:16" s="1" customFormat="1" ht="24.75" customHeight="1" x14ac:dyDescent="0.25">
      <c r="B25" s="140"/>
      <c r="C25" s="211"/>
      <c r="D25" s="132"/>
      <c r="E25" s="50" t="s">
        <v>4</v>
      </c>
      <c r="F25" s="36">
        <f t="shared" ref="F25:F26" si="15">SUM(G25:L25)</f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</row>
    <row r="26" spans="2:16" s="1" customFormat="1" ht="24.75" customHeight="1" x14ac:dyDescent="0.25">
      <c r="B26" s="140"/>
      <c r="C26" s="211"/>
      <c r="D26" s="132"/>
      <c r="E26" s="50" t="s">
        <v>6</v>
      </c>
      <c r="F26" s="36">
        <f t="shared" si="15"/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</row>
    <row r="27" spans="2:16" s="1" customFormat="1" ht="18.75" customHeight="1" x14ac:dyDescent="0.25">
      <c r="B27" s="130" t="s">
        <v>50</v>
      </c>
      <c r="C27" s="213" t="s">
        <v>206</v>
      </c>
      <c r="D27" s="132" t="s">
        <v>1</v>
      </c>
      <c r="E27" s="48" t="s">
        <v>2</v>
      </c>
      <c r="F27" s="36">
        <f>SUM(F28:F31)</f>
        <v>7674.2</v>
      </c>
      <c r="G27" s="36">
        <f t="shared" ref="G27:H27" si="16">SUM(G28:G31)</f>
        <v>203.5</v>
      </c>
      <c r="H27" s="36">
        <f t="shared" si="16"/>
        <v>91.299999999999983</v>
      </c>
      <c r="I27" s="36">
        <f t="shared" ref="I27:J27" si="17">SUM(I28:I31)</f>
        <v>1291</v>
      </c>
      <c r="J27" s="36">
        <f t="shared" si="17"/>
        <v>1779.8</v>
      </c>
      <c r="K27" s="36">
        <f t="shared" ref="K27:L27" si="18">SUM(K28:K31)</f>
        <v>2024.3</v>
      </c>
      <c r="L27" s="36">
        <f t="shared" si="18"/>
        <v>2284.3000000000002</v>
      </c>
    </row>
    <row r="28" spans="2:16" s="1" customFormat="1" ht="18.75" customHeight="1" x14ac:dyDescent="0.25">
      <c r="B28" s="130"/>
      <c r="C28" s="213"/>
      <c r="D28" s="132"/>
      <c r="E28" s="50" t="s">
        <v>5</v>
      </c>
      <c r="F28" s="36">
        <f>SUM(G28:L28)</f>
        <v>7674.2</v>
      </c>
      <c r="G28" s="37">
        <v>203.5</v>
      </c>
      <c r="H28" s="37">
        <f>477.7-H23-H33</f>
        <v>91.299999999999983</v>
      </c>
      <c r="I28" s="37">
        <v>1291</v>
      </c>
      <c r="J28" s="37">
        <f>69+104+210+44+167+569+108+87+290+131+0.8</f>
        <v>1779.8</v>
      </c>
      <c r="K28" s="37">
        <v>2024.3</v>
      </c>
      <c r="L28" s="37">
        <v>2284.3000000000002</v>
      </c>
    </row>
    <row r="29" spans="2:16" s="1" customFormat="1" ht="18.75" customHeight="1" x14ac:dyDescent="0.25">
      <c r="B29" s="130"/>
      <c r="C29" s="213"/>
      <c r="D29" s="132"/>
      <c r="E29" s="50" t="s">
        <v>3</v>
      </c>
      <c r="F29" s="36">
        <f t="shared" ref="F29:F30" si="19">SUM(G29:L29)</f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</row>
    <row r="30" spans="2:16" s="1" customFormat="1" ht="18.75" customHeight="1" x14ac:dyDescent="0.25">
      <c r="B30" s="130"/>
      <c r="C30" s="213"/>
      <c r="D30" s="132"/>
      <c r="E30" s="50" t="s">
        <v>4</v>
      </c>
      <c r="F30" s="36">
        <f t="shared" si="19"/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</row>
    <row r="31" spans="2:16" s="1" customFormat="1" ht="18.75" customHeight="1" x14ac:dyDescent="0.25">
      <c r="B31" s="130"/>
      <c r="C31" s="213"/>
      <c r="D31" s="132"/>
      <c r="E31" s="50" t="s">
        <v>6</v>
      </c>
      <c r="F31" s="36">
        <f>SUM(G31:L31)</f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</row>
    <row r="32" spans="2:16" s="1" customFormat="1" ht="15.75" x14ac:dyDescent="0.25">
      <c r="B32" s="129" t="s">
        <v>19</v>
      </c>
      <c r="C32" s="212" t="s">
        <v>64</v>
      </c>
      <c r="D32" s="132" t="s">
        <v>1</v>
      </c>
      <c r="E32" s="48" t="s">
        <v>2</v>
      </c>
      <c r="F32" s="36">
        <f>SUM(F33:F36)</f>
        <v>34141.599999999999</v>
      </c>
      <c r="G32" s="36">
        <f>G37+G42+G47</f>
        <v>5424.4</v>
      </c>
      <c r="H32" s="36">
        <f t="shared" ref="H32:L32" si="20">H37+H42+H47</f>
        <v>9.4000000000000057</v>
      </c>
      <c r="I32" s="36">
        <f t="shared" si="20"/>
        <v>7331</v>
      </c>
      <c r="J32" s="36">
        <f t="shared" si="20"/>
        <v>7125.6</v>
      </c>
      <c r="K32" s="36">
        <f t="shared" si="20"/>
        <v>7125.6</v>
      </c>
      <c r="L32" s="36">
        <f t="shared" si="20"/>
        <v>7125.6</v>
      </c>
    </row>
    <row r="33" spans="2:12" s="1" customFormat="1" ht="15.75" x14ac:dyDescent="0.25">
      <c r="B33" s="129"/>
      <c r="C33" s="212"/>
      <c r="D33" s="132"/>
      <c r="E33" s="50" t="s">
        <v>5</v>
      </c>
      <c r="F33" s="36">
        <f>SUM(G33:L33)</f>
        <v>34141.599999999999</v>
      </c>
      <c r="G33" s="36">
        <f t="shared" ref="G33:L35" si="21">G38+G43+G48</f>
        <v>5424.4</v>
      </c>
      <c r="H33" s="36">
        <f t="shared" si="21"/>
        <v>9.4000000000000057</v>
      </c>
      <c r="I33" s="36">
        <f t="shared" si="21"/>
        <v>7331</v>
      </c>
      <c r="J33" s="36">
        <f t="shared" si="21"/>
        <v>7125.6</v>
      </c>
      <c r="K33" s="36">
        <f t="shared" si="21"/>
        <v>7125.6</v>
      </c>
      <c r="L33" s="36">
        <f t="shared" si="21"/>
        <v>7125.6</v>
      </c>
    </row>
    <row r="34" spans="2:12" s="1" customFormat="1" ht="15.75" x14ac:dyDescent="0.25">
      <c r="B34" s="129"/>
      <c r="C34" s="212"/>
      <c r="D34" s="132"/>
      <c r="E34" s="50" t="s">
        <v>3</v>
      </c>
      <c r="F34" s="36">
        <f t="shared" ref="F34:F35" si="22">SUM(G34:L34)</f>
        <v>0</v>
      </c>
      <c r="G34" s="36">
        <f t="shared" si="21"/>
        <v>0</v>
      </c>
      <c r="H34" s="36">
        <f t="shared" si="21"/>
        <v>0</v>
      </c>
      <c r="I34" s="36">
        <f t="shared" si="21"/>
        <v>0</v>
      </c>
      <c r="J34" s="36">
        <f t="shared" si="21"/>
        <v>0</v>
      </c>
      <c r="K34" s="36">
        <f t="shared" si="21"/>
        <v>0</v>
      </c>
      <c r="L34" s="36">
        <f t="shared" si="21"/>
        <v>0</v>
      </c>
    </row>
    <row r="35" spans="2:12" s="1" customFormat="1" ht="15.75" x14ac:dyDescent="0.25">
      <c r="B35" s="129"/>
      <c r="C35" s="212"/>
      <c r="D35" s="132"/>
      <c r="E35" s="50" t="s">
        <v>4</v>
      </c>
      <c r="F35" s="36">
        <f t="shared" si="22"/>
        <v>0</v>
      </c>
      <c r="G35" s="36">
        <f t="shared" si="21"/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</row>
    <row r="36" spans="2:12" s="1" customFormat="1" ht="15.75" x14ac:dyDescent="0.25">
      <c r="B36" s="129"/>
      <c r="C36" s="212"/>
      <c r="D36" s="132"/>
      <c r="E36" s="50" t="s">
        <v>6</v>
      </c>
      <c r="F36" s="36">
        <f>SUM(G36:L36)</f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</row>
    <row r="37" spans="2:12" s="1" customFormat="1" ht="15.75" x14ac:dyDescent="0.25">
      <c r="B37" s="130" t="s">
        <v>21</v>
      </c>
      <c r="C37" s="211" t="s">
        <v>65</v>
      </c>
      <c r="D37" s="132" t="s">
        <v>1</v>
      </c>
      <c r="E37" s="48" t="s">
        <v>2</v>
      </c>
      <c r="F37" s="36">
        <f>F39+F40+F38+F41</f>
        <v>29792.400000000001</v>
      </c>
      <c r="G37" s="36">
        <f t="shared" ref="G37:H37" si="23">G39+G40+G38+G41</f>
        <v>4579.3999999999996</v>
      </c>
      <c r="H37" s="36">
        <f t="shared" si="23"/>
        <v>0</v>
      </c>
      <c r="I37" s="36">
        <f t="shared" ref="I37:J37" si="24">I39+I40+I38+I41</f>
        <v>6289</v>
      </c>
      <c r="J37" s="36">
        <f t="shared" si="24"/>
        <v>6308</v>
      </c>
      <c r="K37" s="36">
        <f t="shared" ref="K37:L37" si="25">K39+K40+K38+K41</f>
        <v>6308</v>
      </c>
      <c r="L37" s="36">
        <f t="shared" si="25"/>
        <v>6308</v>
      </c>
    </row>
    <row r="38" spans="2:12" s="1" customFormat="1" ht="15.75" x14ac:dyDescent="0.25">
      <c r="B38" s="130"/>
      <c r="C38" s="211"/>
      <c r="D38" s="132"/>
      <c r="E38" s="50" t="s">
        <v>5</v>
      </c>
      <c r="F38" s="36">
        <f>SUM(G38:L38)</f>
        <v>29792.400000000001</v>
      </c>
      <c r="G38" s="37">
        <v>4579.3999999999996</v>
      </c>
      <c r="H38" s="37">
        <v>0</v>
      </c>
      <c r="I38" s="37">
        <v>6289</v>
      </c>
      <c r="J38" s="37">
        <v>6308</v>
      </c>
      <c r="K38" s="37">
        <v>6308</v>
      </c>
      <c r="L38" s="37">
        <v>6308</v>
      </c>
    </row>
    <row r="39" spans="2:12" s="1" customFormat="1" ht="15.75" x14ac:dyDescent="0.25">
      <c r="B39" s="130"/>
      <c r="C39" s="211"/>
      <c r="D39" s="132"/>
      <c r="E39" s="50" t="s">
        <v>3</v>
      </c>
      <c r="F39" s="36">
        <f t="shared" ref="F39:F40" si="26">SUM(G39:L39)</f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</row>
    <row r="40" spans="2:12" s="1" customFormat="1" ht="15.75" x14ac:dyDescent="0.25">
      <c r="B40" s="130"/>
      <c r="C40" s="211"/>
      <c r="D40" s="132"/>
      <c r="E40" s="50" t="s">
        <v>4</v>
      </c>
      <c r="F40" s="36">
        <f t="shared" si="26"/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</row>
    <row r="41" spans="2:12" s="1" customFormat="1" ht="15.75" x14ac:dyDescent="0.25">
      <c r="B41" s="130"/>
      <c r="C41" s="211"/>
      <c r="D41" s="132"/>
      <c r="E41" s="50" t="s">
        <v>6</v>
      </c>
      <c r="F41" s="36">
        <f>SUM(G41:L41)</f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</row>
    <row r="42" spans="2:12" s="1" customFormat="1" ht="15.75" x14ac:dyDescent="0.25">
      <c r="B42" s="140" t="s">
        <v>22</v>
      </c>
      <c r="C42" s="211" t="s">
        <v>66</v>
      </c>
      <c r="D42" s="132" t="s">
        <v>1</v>
      </c>
      <c r="E42" s="48" t="s">
        <v>2</v>
      </c>
      <c r="F42" s="36">
        <f>SUM(F43:F46)</f>
        <v>937.2</v>
      </c>
      <c r="G42" s="36">
        <f t="shared" ref="G42:H42" si="27">SUM(G43:G46)</f>
        <v>126</v>
      </c>
      <c r="H42" s="36">
        <f t="shared" si="27"/>
        <v>9.4000000000000057</v>
      </c>
      <c r="I42" s="36">
        <f t="shared" ref="I42:J42" si="28">SUM(I43:I46)</f>
        <v>176</v>
      </c>
      <c r="J42" s="36">
        <f t="shared" si="28"/>
        <v>208.6</v>
      </c>
      <c r="K42" s="36">
        <f t="shared" ref="K42:L42" si="29">SUM(K43:K46)</f>
        <v>208.6</v>
      </c>
      <c r="L42" s="36">
        <f t="shared" si="29"/>
        <v>208.6</v>
      </c>
    </row>
    <row r="43" spans="2:12" s="1" customFormat="1" ht="15.75" x14ac:dyDescent="0.25">
      <c r="B43" s="140"/>
      <c r="C43" s="211"/>
      <c r="D43" s="132"/>
      <c r="E43" s="50" t="s">
        <v>5</v>
      </c>
      <c r="F43" s="36">
        <f>SUM(G43:L43)</f>
        <v>937.2</v>
      </c>
      <c r="G43" s="16">
        <v>126</v>
      </c>
      <c r="H43" s="16">
        <f>72.2+67.2-130</f>
        <v>9.4000000000000057</v>
      </c>
      <c r="I43" s="16">
        <f>88+88</f>
        <v>176</v>
      </c>
      <c r="J43" s="16">
        <f>104.3+104.3</f>
        <v>208.6</v>
      </c>
      <c r="K43" s="16">
        <v>208.6</v>
      </c>
      <c r="L43" s="16">
        <v>208.6</v>
      </c>
    </row>
    <row r="44" spans="2:12" s="1" customFormat="1" ht="15.75" x14ac:dyDescent="0.25">
      <c r="B44" s="140"/>
      <c r="C44" s="211"/>
      <c r="D44" s="132"/>
      <c r="E44" s="50" t="s">
        <v>3</v>
      </c>
      <c r="F44" s="36">
        <f t="shared" ref="F44:F45" si="30">SUM(G44:L44)</f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</row>
    <row r="45" spans="2:12" s="1" customFormat="1" ht="15.75" x14ac:dyDescent="0.25">
      <c r="B45" s="140"/>
      <c r="C45" s="211"/>
      <c r="D45" s="132"/>
      <c r="E45" s="50" t="s">
        <v>4</v>
      </c>
      <c r="F45" s="36">
        <f t="shared" si="30"/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</row>
    <row r="46" spans="2:12" s="1" customFormat="1" ht="15.75" x14ac:dyDescent="0.25">
      <c r="B46" s="140"/>
      <c r="C46" s="211"/>
      <c r="D46" s="132"/>
      <c r="E46" s="50" t="s">
        <v>6</v>
      </c>
      <c r="F46" s="36">
        <f>SUM(G46:L46)</f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</row>
    <row r="47" spans="2:12" s="1" customFormat="1" ht="15.75" x14ac:dyDescent="0.25">
      <c r="B47" s="140" t="s">
        <v>23</v>
      </c>
      <c r="C47" s="211" t="s">
        <v>67</v>
      </c>
      <c r="D47" s="132" t="s">
        <v>1</v>
      </c>
      <c r="E47" s="48" t="s">
        <v>2</v>
      </c>
      <c r="F47" s="36">
        <f t="shared" ref="F47" si="31">SUM(G47:L47)</f>
        <v>3412</v>
      </c>
      <c r="G47" s="36">
        <f t="shared" ref="G47:H47" si="32">SUM(G48:G51)</f>
        <v>719</v>
      </c>
      <c r="H47" s="36">
        <f t="shared" si="32"/>
        <v>0</v>
      </c>
      <c r="I47" s="36">
        <f t="shared" ref="I47:J47" si="33">SUM(I48:I51)</f>
        <v>866</v>
      </c>
      <c r="J47" s="36">
        <f t="shared" si="33"/>
        <v>609</v>
      </c>
      <c r="K47" s="36">
        <f t="shared" ref="K47:L47" si="34">SUM(K48:K51)</f>
        <v>609</v>
      </c>
      <c r="L47" s="36">
        <f t="shared" si="34"/>
        <v>609</v>
      </c>
    </row>
    <row r="48" spans="2:12" s="1" customFormat="1" ht="15.75" x14ac:dyDescent="0.25">
      <c r="B48" s="140"/>
      <c r="C48" s="211"/>
      <c r="D48" s="132"/>
      <c r="E48" s="50" t="s">
        <v>5</v>
      </c>
      <c r="F48" s="36">
        <f>SUM(G48:L48)</f>
        <v>3412</v>
      </c>
      <c r="G48" s="16">
        <v>719</v>
      </c>
      <c r="H48" s="16">
        <v>0</v>
      </c>
      <c r="I48" s="16">
        <v>866</v>
      </c>
      <c r="J48" s="16">
        <v>609</v>
      </c>
      <c r="K48" s="16">
        <v>609</v>
      </c>
      <c r="L48" s="16">
        <v>609</v>
      </c>
    </row>
    <row r="49" spans="2:12" s="1" customFormat="1" ht="15.75" x14ac:dyDescent="0.25">
      <c r="B49" s="140"/>
      <c r="C49" s="211"/>
      <c r="D49" s="132"/>
      <c r="E49" s="50" t="s">
        <v>3</v>
      </c>
      <c r="F49" s="36">
        <f t="shared" ref="F49:F50" si="35">SUM(G49:L49)</f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</row>
    <row r="50" spans="2:12" s="1" customFormat="1" ht="15.75" x14ac:dyDescent="0.25">
      <c r="B50" s="140"/>
      <c r="C50" s="211"/>
      <c r="D50" s="132"/>
      <c r="E50" s="50" t="s">
        <v>4</v>
      </c>
      <c r="F50" s="36">
        <f t="shared" si="35"/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</row>
    <row r="51" spans="2:12" s="1" customFormat="1" ht="15.75" x14ac:dyDescent="0.25">
      <c r="B51" s="140"/>
      <c r="C51" s="211"/>
      <c r="D51" s="132"/>
      <c r="E51" s="50" t="s">
        <v>6</v>
      </c>
      <c r="F51" s="36">
        <f>SUM(G51:L51)</f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</row>
    <row r="52" spans="2:12" s="1" customFormat="1" ht="15.75" x14ac:dyDescent="0.25">
      <c r="B52" s="141" t="s">
        <v>7</v>
      </c>
      <c r="C52" s="209" t="s">
        <v>68</v>
      </c>
      <c r="D52" s="132" t="s">
        <v>1</v>
      </c>
      <c r="E52" s="48" t="s">
        <v>2</v>
      </c>
      <c r="F52" s="36">
        <f t="shared" ref="F52" si="36">SUM(G52:L52)</f>
        <v>7696.8</v>
      </c>
      <c r="G52" s="36">
        <f t="shared" ref="G52:H52" si="37">SUM(G53:G56)</f>
        <v>1949.9</v>
      </c>
      <c r="H52" s="36">
        <f t="shared" si="37"/>
        <v>1760.1</v>
      </c>
      <c r="I52" s="36">
        <f t="shared" ref="I52:J52" si="38">SUM(I53:I56)</f>
        <v>743.8</v>
      </c>
      <c r="J52" s="36">
        <f t="shared" si="38"/>
        <v>1081</v>
      </c>
      <c r="K52" s="36">
        <f t="shared" ref="K52:L52" si="39">SUM(K53:K56)</f>
        <v>1081</v>
      </c>
      <c r="L52" s="36">
        <f t="shared" si="39"/>
        <v>1081</v>
      </c>
    </row>
    <row r="53" spans="2:12" s="1" customFormat="1" ht="15.75" x14ac:dyDescent="0.25">
      <c r="B53" s="141"/>
      <c r="C53" s="209"/>
      <c r="D53" s="132"/>
      <c r="E53" s="50" t="s">
        <v>5</v>
      </c>
      <c r="F53" s="36">
        <f>SUM(G53:L53)</f>
        <v>7696.8</v>
      </c>
      <c r="G53" s="37">
        <v>1949.9</v>
      </c>
      <c r="H53" s="37">
        <v>1760.1</v>
      </c>
      <c r="I53" s="37">
        <v>743.8</v>
      </c>
      <c r="J53" s="37">
        <v>1081</v>
      </c>
      <c r="K53" s="37">
        <v>1081</v>
      </c>
      <c r="L53" s="37">
        <v>1081</v>
      </c>
    </row>
    <row r="54" spans="2:12" s="1" customFormat="1" ht="15.75" x14ac:dyDescent="0.25">
      <c r="B54" s="129"/>
      <c r="C54" s="209"/>
      <c r="D54" s="132"/>
      <c r="E54" s="50" t="s">
        <v>3</v>
      </c>
      <c r="F54" s="36">
        <f t="shared" ref="F54:F55" si="40">SUM(G54:L54)</f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</row>
    <row r="55" spans="2:12" s="1" customFormat="1" ht="15.75" x14ac:dyDescent="0.25">
      <c r="B55" s="129"/>
      <c r="C55" s="209"/>
      <c r="D55" s="132"/>
      <c r="E55" s="50" t="s">
        <v>4</v>
      </c>
      <c r="F55" s="36">
        <f t="shared" si="40"/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</row>
    <row r="56" spans="2:12" s="1" customFormat="1" ht="15.75" x14ac:dyDescent="0.25">
      <c r="B56" s="129"/>
      <c r="C56" s="209"/>
      <c r="D56" s="132"/>
      <c r="E56" s="50" t="s">
        <v>6</v>
      </c>
      <c r="F56" s="36">
        <f>SUM(G56:L56)</f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</row>
    <row r="57" spans="2:12" s="1" customFormat="1" ht="24.75" customHeight="1" x14ac:dyDescent="0.25">
      <c r="B57" s="129" t="s">
        <v>8</v>
      </c>
      <c r="C57" s="209" t="s">
        <v>162</v>
      </c>
      <c r="D57" s="132" t="s">
        <v>1</v>
      </c>
      <c r="E57" s="48" t="s">
        <v>2</v>
      </c>
      <c r="F57" s="36">
        <f t="shared" ref="F57" si="41">SUM(G57:L57)</f>
        <v>11948.5</v>
      </c>
      <c r="G57" s="36">
        <f t="shared" ref="G57:H57" si="42">SUM(G58:G61)</f>
        <v>2556</v>
      </c>
      <c r="H57" s="36">
        <f t="shared" si="42"/>
        <v>0</v>
      </c>
      <c r="I57" s="36">
        <f t="shared" ref="I57:J57" si="43">SUM(I58:I61)</f>
        <v>2198.1999999999998</v>
      </c>
      <c r="J57" s="36">
        <f t="shared" si="43"/>
        <v>2626.5</v>
      </c>
      <c r="K57" s="36">
        <f t="shared" ref="K57:L57" si="44">SUM(K58:K61)</f>
        <v>2283.9</v>
      </c>
      <c r="L57" s="36">
        <f t="shared" si="44"/>
        <v>2283.9</v>
      </c>
    </row>
    <row r="58" spans="2:12" s="1" customFormat="1" ht="24.75" customHeight="1" x14ac:dyDescent="0.25">
      <c r="B58" s="129"/>
      <c r="C58" s="209"/>
      <c r="D58" s="132"/>
      <c r="E58" s="50" t="s">
        <v>5</v>
      </c>
      <c r="F58" s="36">
        <f>SUM(G58:L58)</f>
        <v>1075.7</v>
      </c>
      <c r="G58" s="37">
        <v>230.1</v>
      </c>
      <c r="H58" s="37">
        <v>0</v>
      </c>
      <c r="I58" s="37">
        <v>197.9</v>
      </c>
      <c r="J58" s="37">
        <v>236.5</v>
      </c>
      <c r="K58" s="37">
        <v>205.6</v>
      </c>
      <c r="L58" s="37">
        <v>205.6</v>
      </c>
    </row>
    <row r="59" spans="2:12" s="1" customFormat="1" ht="24.75" customHeight="1" x14ac:dyDescent="0.25">
      <c r="B59" s="129"/>
      <c r="C59" s="209"/>
      <c r="D59" s="132"/>
      <c r="E59" s="50" t="s">
        <v>3</v>
      </c>
      <c r="F59" s="36">
        <f t="shared" ref="F59:F60" si="45">SUM(G59:L59)</f>
        <v>10872.8</v>
      </c>
      <c r="G59" s="37">
        <v>2325.9</v>
      </c>
      <c r="H59" s="37">
        <f>2423.5-2423.5</f>
        <v>0</v>
      </c>
      <c r="I59" s="37">
        <v>2000.3</v>
      </c>
      <c r="J59" s="37">
        <v>2390</v>
      </c>
      <c r="K59" s="37">
        <v>2078.3000000000002</v>
      </c>
      <c r="L59" s="37">
        <v>2078.3000000000002</v>
      </c>
    </row>
    <row r="60" spans="2:12" s="1" customFormat="1" ht="24.75" customHeight="1" x14ac:dyDescent="0.25">
      <c r="B60" s="129"/>
      <c r="C60" s="209"/>
      <c r="D60" s="132"/>
      <c r="E60" s="50" t="s">
        <v>4</v>
      </c>
      <c r="F60" s="36">
        <f t="shared" si="45"/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</row>
    <row r="61" spans="2:12" s="1" customFormat="1" ht="24.75" customHeight="1" x14ac:dyDescent="0.25">
      <c r="B61" s="129"/>
      <c r="C61" s="209"/>
      <c r="D61" s="132"/>
      <c r="E61" s="50" t="s">
        <v>6</v>
      </c>
      <c r="F61" s="36">
        <f>SUM(G61:L61)</f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</row>
    <row r="62" spans="2:12" s="1" customFormat="1" ht="15.75" x14ac:dyDescent="0.25">
      <c r="B62" s="129" t="s">
        <v>9</v>
      </c>
      <c r="C62" s="209" t="s">
        <v>163</v>
      </c>
      <c r="D62" s="132" t="s">
        <v>1</v>
      </c>
      <c r="E62" s="48" t="s">
        <v>2</v>
      </c>
      <c r="F62" s="36">
        <f t="shared" ref="F62:F65" si="46">SUM(G62:L62)</f>
        <v>110008.3</v>
      </c>
      <c r="G62" s="36">
        <f t="shared" ref="G62:H62" si="47">SUM(G63:G66)</f>
        <v>22434.5</v>
      </c>
      <c r="H62" s="36">
        <f t="shared" si="47"/>
        <v>18761.7</v>
      </c>
      <c r="I62" s="36">
        <f t="shared" ref="I62:J62" si="48">SUM(I63:I66)</f>
        <v>12299.9</v>
      </c>
      <c r="J62" s="36">
        <f t="shared" si="48"/>
        <v>17156.599999999999</v>
      </c>
      <c r="K62" s="36">
        <f t="shared" ref="K62:L62" si="49">SUM(K63:K66)</f>
        <v>19677.8</v>
      </c>
      <c r="L62" s="36">
        <f t="shared" si="49"/>
        <v>19677.8</v>
      </c>
    </row>
    <row r="63" spans="2:12" s="1" customFormat="1" ht="15.75" x14ac:dyDescent="0.25">
      <c r="B63" s="129"/>
      <c r="C63" s="209"/>
      <c r="D63" s="132"/>
      <c r="E63" s="50" t="s">
        <v>5</v>
      </c>
      <c r="F63" s="36">
        <f>SUM(G63:L63)</f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</row>
    <row r="64" spans="2:12" s="1" customFormat="1" ht="15.75" x14ac:dyDescent="0.25">
      <c r="B64" s="129"/>
      <c r="C64" s="210"/>
      <c r="D64" s="132"/>
      <c r="E64" s="50" t="s">
        <v>3</v>
      </c>
      <c r="F64" s="36">
        <f t="shared" si="46"/>
        <v>110008.3</v>
      </c>
      <c r="G64" s="37">
        <v>22434.5</v>
      </c>
      <c r="H64" s="37">
        <v>18761.7</v>
      </c>
      <c r="I64" s="37">
        <v>12299.9</v>
      </c>
      <c r="J64" s="37">
        <v>17156.599999999999</v>
      </c>
      <c r="K64" s="37">
        <v>19677.8</v>
      </c>
      <c r="L64" s="37">
        <v>19677.8</v>
      </c>
    </row>
    <row r="65" spans="2:12" s="1" customFormat="1" ht="15.75" x14ac:dyDescent="0.25">
      <c r="B65" s="129"/>
      <c r="C65" s="210"/>
      <c r="D65" s="132"/>
      <c r="E65" s="50" t="s">
        <v>4</v>
      </c>
      <c r="F65" s="36">
        <f t="shared" si="46"/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</row>
    <row r="66" spans="2:12" s="1" customFormat="1" ht="15.75" x14ac:dyDescent="0.25">
      <c r="B66" s="129"/>
      <c r="C66" s="210"/>
      <c r="D66" s="132"/>
      <c r="E66" s="50" t="s">
        <v>6</v>
      </c>
      <c r="F66" s="36">
        <f>SUM(G66:L66)</f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</row>
    <row r="67" spans="2:12" s="1" customFormat="1" ht="22.5" customHeight="1" x14ac:dyDescent="0.25">
      <c r="B67" s="150">
        <v>5</v>
      </c>
      <c r="C67" s="168" t="s">
        <v>161</v>
      </c>
      <c r="D67" s="132" t="s">
        <v>1</v>
      </c>
      <c r="E67" s="12" t="s">
        <v>2</v>
      </c>
      <c r="F67" s="30">
        <f>SUM(F68:F71)</f>
        <v>2009.3000000000002</v>
      </c>
      <c r="G67" s="36">
        <f t="shared" ref="G67:L67" si="50">SUM(G68:G71)</f>
        <v>2009.3000000000002</v>
      </c>
      <c r="H67" s="36">
        <f t="shared" si="50"/>
        <v>0</v>
      </c>
      <c r="I67" s="36">
        <f t="shared" si="50"/>
        <v>0</v>
      </c>
      <c r="J67" s="36">
        <f t="shared" si="50"/>
        <v>0</v>
      </c>
      <c r="K67" s="36">
        <f t="shared" si="50"/>
        <v>0</v>
      </c>
      <c r="L67" s="36">
        <f t="shared" si="50"/>
        <v>0</v>
      </c>
    </row>
    <row r="68" spans="2:12" s="1" customFormat="1" ht="22.5" customHeight="1" x14ac:dyDescent="0.25">
      <c r="B68" s="151"/>
      <c r="C68" s="169"/>
      <c r="D68" s="132"/>
      <c r="E68" s="15" t="s">
        <v>5</v>
      </c>
      <c r="F68" s="13">
        <f t="shared" ref="F68" si="51">SUM(G68:L68)</f>
        <v>180.9</v>
      </c>
      <c r="G68" s="37">
        <v>180.9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</row>
    <row r="69" spans="2:12" s="1" customFormat="1" ht="22.5" customHeight="1" x14ac:dyDescent="0.25">
      <c r="B69" s="151"/>
      <c r="C69" s="169"/>
      <c r="D69" s="132"/>
      <c r="E69" s="15" t="s">
        <v>3</v>
      </c>
      <c r="F69" s="13">
        <f>SUM(G69:L69)</f>
        <v>1828.4</v>
      </c>
      <c r="G69" s="37">
        <v>1828.4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</row>
    <row r="70" spans="2:12" s="1" customFormat="1" ht="22.5" customHeight="1" x14ac:dyDescent="0.25">
      <c r="B70" s="151"/>
      <c r="C70" s="169"/>
      <c r="D70" s="132"/>
      <c r="E70" s="15" t="s">
        <v>4</v>
      </c>
      <c r="F70" s="13">
        <f t="shared" ref="F70:F71" si="52">SUM(G70:L70)</f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</row>
    <row r="71" spans="2:12" s="1" customFormat="1" ht="22.5" customHeight="1" x14ac:dyDescent="0.25">
      <c r="B71" s="152"/>
      <c r="C71" s="170"/>
      <c r="D71" s="132"/>
      <c r="E71" s="15" t="s">
        <v>6</v>
      </c>
      <c r="F71" s="13">
        <f t="shared" si="52"/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</row>
    <row r="72" spans="2:12" s="1" customFormat="1" ht="39" customHeight="1" x14ac:dyDescent="0.25">
      <c r="B72" s="129">
        <v>6</v>
      </c>
      <c r="C72" s="209" t="s">
        <v>169</v>
      </c>
      <c r="D72" s="132" t="s">
        <v>1</v>
      </c>
      <c r="E72" s="48" t="s">
        <v>2</v>
      </c>
      <c r="F72" s="36">
        <f t="shared" ref="F72" si="53">SUM(G72:L72)</f>
        <v>102.9</v>
      </c>
      <c r="G72" s="36">
        <f t="shared" ref="G72:L72" si="54">SUM(G73:G76)</f>
        <v>0</v>
      </c>
      <c r="H72" s="36">
        <f t="shared" si="54"/>
        <v>102.9</v>
      </c>
      <c r="I72" s="36">
        <f t="shared" si="54"/>
        <v>0</v>
      </c>
      <c r="J72" s="36">
        <f t="shared" si="54"/>
        <v>0</v>
      </c>
      <c r="K72" s="36">
        <f t="shared" si="54"/>
        <v>0</v>
      </c>
      <c r="L72" s="36">
        <f t="shared" si="54"/>
        <v>0</v>
      </c>
    </row>
    <row r="73" spans="2:12" s="1" customFormat="1" ht="39" customHeight="1" x14ac:dyDescent="0.25">
      <c r="B73" s="129"/>
      <c r="C73" s="209"/>
      <c r="D73" s="132"/>
      <c r="E73" s="50" t="s">
        <v>5</v>
      </c>
      <c r="F73" s="36">
        <f>SUM(G73:L73)</f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</row>
    <row r="74" spans="2:12" s="1" customFormat="1" ht="39" customHeight="1" x14ac:dyDescent="0.25">
      <c r="B74" s="129"/>
      <c r="C74" s="210"/>
      <c r="D74" s="132"/>
      <c r="E74" s="50" t="s">
        <v>3</v>
      </c>
      <c r="F74" s="36">
        <f t="shared" ref="F74:F75" si="55">SUM(G74:L74)</f>
        <v>102.9</v>
      </c>
      <c r="G74" s="37">
        <v>0</v>
      </c>
      <c r="H74" s="37">
        <v>102.9</v>
      </c>
      <c r="I74" s="37">
        <v>0</v>
      </c>
      <c r="J74" s="37">
        <v>0</v>
      </c>
      <c r="K74" s="37">
        <v>0</v>
      </c>
      <c r="L74" s="37">
        <v>0</v>
      </c>
    </row>
    <row r="75" spans="2:12" s="1" customFormat="1" ht="39" customHeight="1" x14ac:dyDescent="0.25">
      <c r="B75" s="129"/>
      <c r="C75" s="210"/>
      <c r="D75" s="132"/>
      <c r="E75" s="50" t="s">
        <v>4</v>
      </c>
      <c r="F75" s="36">
        <f t="shared" si="55"/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</row>
    <row r="76" spans="2:12" s="1" customFormat="1" ht="39" customHeight="1" x14ac:dyDescent="0.25">
      <c r="B76" s="129"/>
      <c r="C76" s="210"/>
      <c r="D76" s="132"/>
      <c r="E76" s="50" t="s">
        <v>6</v>
      </c>
      <c r="F76" s="36">
        <f>SUM(G76:L76)</f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</row>
    <row r="77" spans="2:12" s="1" customFormat="1" ht="37.5" customHeight="1" x14ac:dyDescent="0.25">
      <c r="B77" s="129">
        <v>7</v>
      </c>
      <c r="C77" s="209" t="s">
        <v>194</v>
      </c>
      <c r="D77" s="132" t="s">
        <v>1</v>
      </c>
      <c r="E77" s="48" t="s">
        <v>2</v>
      </c>
      <c r="F77" s="36">
        <f t="shared" ref="F77" si="56">SUM(G77:L77)</f>
        <v>940</v>
      </c>
      <c r="G77" s="36">
        <f t="shared" ref="G77:L77" si="57">SUM(G78:G81)</f>
        <v>0</v>
      </c>
      <c r="H77" s="36">
        <f t="shared" si="57"/>
        <v>121.6</v>
      </c>
      <c r="I77" s="36">
        <f t="shared" si="57"/>
        <v>150</v>
      </c>
      <c r="J77" s="36">
        <f t="shared" si="57"/>
        <v>222.8</v>
      </c>
      <c r="K77" s="36">
        <f t="shared" si="57"/>
        <v>222.8</v>
      </c>
      <c r="L77" s="36">
        <f t="shared" si="57"/>
        <v>222.8</v>
      </c>
    </row>
    <row r="78" spans="2:12" s="1" customFormat="1" ht="37.5" customHeight="1" x14ac:dyDescent="0.25">
      <c r="B78" s="129"/>
      <c r="C78" s="209"/>
      <c r="D78" s="132"/>
      <c r="E78" s="50" t="s">
        <v>5</v>
      </c>
      <c r="F78" s="36">
        <f>SUM(G78:L78)</f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</row>
    <row r="79" spans="2:12" s="1" customFormat="1" ht="37.5" customHeight="1" x14ac:dyDescent="0.25">
      <c r="B79" s="129"/>
      <c r="C79" s="210"/>
      <c r="D79" s="132"/>
      <c r="E79" s="50" t="s">
        <v>3</v>
      </c>
      <c r="F79" s="36">
        <f t="shared" ref="F79:F80" si="58">SUM(G79:L79)</f>
        <v>940</v>
      </c>
      <c r="G79" s="37">
        <v>0</v>
      </c>
      <c r="H79" s="37">
        <v>121.6</v>
      </c>
      <c r="I79" s="37">
        <v>150</v>
      </c>
      <c r="J79" s="37">
        <v>222.8</v>
      </c>
      <c r="K79" s="37">
        <v>222.8</v>
      </c>
      <c r="L79" s="37">
        <v>222.8</v>
      </c>
    </row>
    <row r="80" spans="2:12" s="1" customFormat="1" ht="37.5" customHeight="1" x14ac:dyDescent="0.25">
      <c r="B80" s="129"/>
      <c r="C80" s="210"/>
      <c r="D80" s="132"/>
      <c r="E80" s="50" t="s">
        <v>4</v>
      </c>
      <c r="F80" s="36">
        <f t="shared" si="58"/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</row>
    <row r="81" spans="2:13" s="1" customFormat="1" ht="37.5" customHeight="1" x14ac:dyDescent="0.25">
      <c r="B81" s="129"/>
      <c r="C81" s="210"/>
      <c r="D81" s="132"/>
      <c r="E81" s="50" t="s">
        <v>6</v>
      </c>
      <c r="F81" s="36">
        <f>SUM(G81:L81)</f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</row>
    <row r="82" spans="2:13" s="1" customFormat="1" ht="31.5" customHeight="1" x14ac:dyDescent="0.25">
      <c r="B82" s="129">
        <v>8</v>
      </c>
      <c r="C82" s="209" t="s">
        <v>195</v>
      </c>
      <c r="D82" s="132" t="s">
        <v>1</v>
      </c>
      <c r="E82" s="48" t="s">
        <v>2</v>
      </c>
      <c r="F82" s="36">
        <f t="shared" ref="F82" si="59">SUM(G82:L82)</f>
        <v>55</v>
      </c>
      <c r="G82" s="36">
        <f t="shared" ref="G82:L82" si="60">SUM(G83:G86)</f>
        <v>0</v>
      </c>
      <c r="H82" s="36">
        <f t="shared" si="60"/>
        <v>10</v>
      </c>
      <c r="I82" s="36">
        <f t="shared" si="60"/>
        <v>9</v>
      </c>
      <c r="J82" s="36">
        <f t="shared" si="60"/>
        <v>12</v>
      </c>
      <c r="K82" s="36">
        <f t="shared" si="60"/>
        <v>12</v>
      </c>
      <c r="L82" s="36">
        <f t="shared" si="60"/>
        <v>12</v>
      </c>
    </row>
    <row r="83" spans="2:13" s="1" customFormat="1" ht="31.5" customHeight="1" x14ac:dyDescent="0.25">
      <c r="B83" s="129"/>
      <c r="C83" s="209"/>
      <c r="D83" s="132"/>
      <c r="E83" s="50" t="s">
        <v>5</v>
      </c>
      <c r="F83" s="36">
        <f>SUM(G83:L83)</f>
        <v>55</v>
      </c>
      <c r="G83" s="37">
        <v>0</v>
      </c>
      <c r="H83" s="37">
        <v>10</v>
      </c>
      <c r="I83" s="37">
        <v>9</v>
      </c>
      <c r="J83" s="37">
        <v>12</v>
      </c>
      <c r="K83" s="37">
        <v>12</v>
      </c>
      <c r="L83" s="37">
        <v>12</v>
      </c>
    </row>
    <row r="84" spans="2:13" s="1" customFormat="1" ht="31.5" customHeight="1" x14ac:dyDescent="0.25">
      <c r="B84" s="129"/>
      <c r="C84" s="210"/>
      <c r="D84" s="132"/>
      <c r="E84" s="50" t="s">
        <v>3</v>
      </c>
      <c r="F84" s="36">
        <f t="shared" ref="F84:F85" si="61">SUM(G84:L84)</f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</row>
    <row r="85" spans="2:13" s="1" customFormat="1" ht="31.5" customHeight="1" x14ac:dyDescent="0.25">
      <c r="B85" s="129"/>
      <c r="C85" s="210"/>
      <c r="D85" s="132"/>
      <c r="E85" s="50" t="s">
        <v>4</v>
      </c>
      <c r="F85" s="36">
        <f t="shared" si="61"/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</row>
    <row r="86" spans="2:13" s="1" customFormat="1" ht="31.5" customHeight="1" x14ac:dyDescent="0.25">
      <c r="B86" s="129"/>
      <c r="C86" s="210"/>
      <c r="D86" s="132"/>
      <c r="E86" s="50" t="s">
        <v>6</v>
      </c>
      <c r="F86" s="36">
        <f>SUM(G86:L86)</f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</row>
    <row r="87" spans="2:13" s="1" customFormat="1" ht="15.75" x14ac:dyDescent="0.25">
      <c r="B87" s="129"/>
      <c r="C87" s="214"/>
      <c r="D87" s="132" t="s">
        <v>1</v>
      </c>
      <c r="E87" s="61" t="s">
        <v>2</v>
      </c>
      <c r="F87" s="56">
        <f>SUM(G87:L87)</f>
        <v>188210.9</v>
      </c>
      <c r="G87" s="56">
        <f>SUM(G88:G91)</f>
        <v>35577.600000000006</v>
      </c>
      <c r="H87" s="56">
        <f>SUM(H88:H91)</f>
        <v>21234</v>
      </c>
      <c r="I87" s="56">
        <f>SUM(I88:I91)</f>
        <v>25509.199999999997</v>
      </c>
      <c r="J87" s="56">
        <f t="shared" ref="J87:L87" si="62">SUM(J88:J91)</f>
        <v>33348.300000000003</v>
      </c>
      <c r="K87" s="56">
        <f t="shared" si="62"/>
        <v>36015.9</v>
      </c>
      <c r="L87" s="56">
        <f t="shared" si="62"/>
        <v>36525.9</v>
      </c>
    </row>
    <row r="88" spans="2:13" s="1" customFormat="1" ht="15.75" x14ac:dyDescent="0.25">
      <c r="B88" s="129"/>
      <c r="C88" s="214"/>
      <c r="D88" s="132"/>
      <c r="E88" s="61" t="s">
        <v>5</v>
      </c>
      <c r="F88" s="36">
        <f>SUM(G88:L88)</f>
        <v>64458.5</v>
      </c>
      <c r="G88" s="56">
        <f>G18+G53+G58+G63+G73+G68</f>
        <v>8988.7999999999993</v>
      </c>
      <c r="H88" s="56">
        <f>H18+H53+H58+H63+H73+H78+H83</f>
        <v>2247.7999999999997</v>
      </c>
      <c r="I88" s="56">
        <f t="shared" ref="I88:L88" si="63">I18+I53+I58+I63+I73+I78+I83</f>
        <v>11058.999999999998</v>
      </c>
      <c r="J88" s="56">
        <f t="shared" si="63"/>
        <v>13578.900000000001</v>
      </c>
      <c r="K88" s="56">
        <f t="shared" si="63"/>
        <v>14037.000000000002</v>
      </c>
      <c r="L88" s="56">
        <f t="shared" si="63"/>
        <v>14547.000000000002</v>
      </c>
    </row>
    <row r="89" spans="2:13" s="1" customFormat="1" ht="15.75" x14ac:dyDescent="0.25">
      <c r="B89" s="129"/>
      <c r="C89" s="214"/>
      <c r="D89" s="132"/>
      <c r="E89" s="61" t="s">
        <v>3</v>
      </c>
      <c r="F89" s="36">
        <f t="shared" ref="F89:F90" si="64">SUM(G89:L89)</f>
        <v>123752.39999999998</v>
      </c>
      <c r="G89" s="56">
        <f t="shared" ref="G89:G91" si="65">G19+G54+G59+G64+G74+G69</f>
        <v>26588.800000000003</v>
      </c>
      <c r="H89" s="56">
        <f t="shared" ref="H89:L91" si="66">H19+H54+H59+H64+H74+H79+H84</f>
        <v>18986.2</v>
      </c>
      <c r="I89" s="56">
        <f t="shared" si="66"/>
        <v>14450.199999999999</v>
      </c>
      <c r="J89" s="56">
        <f t="shared" si="66"/>
        <v>19769.399999999998</v>
      </c>
      <c r="K89" s="56">
        <f t="shared" si="66"/>
        <v>21978.899999999998</v>
      </c>
      <c r="L89" s="56">
        <f t="shared" si="66"/>
        <v>21978.899999999998</v>
      </c>
    </row>
    <row r="90" spans="2:13" s="1" customFormat="1" ht="15.75" x14ac:dyDescent="0.25">
      <c r="B90" s="129"/>
      <c r="C90" s="214"/>
      <c r="D90" s="132"/>
      <c r="E90" s="61" t="s">
        <v>4</v>
      </c>
      <c r="F90" s="36">
        <f t="shared" si="64"/>
        <v>0</v>
      </c>
      <c r="G90" s="56">
        <f t="shared" si="65"/>
        <v>0</v>
      </c>
      <c r="H90" s="56">
        <f t="shared" si="66"/>
        <v>0</v>
      </c>
      <c r="I90" s="56">
        <f t="shared" si="66"/>
        <v>0</v>
      </c>
      <c r="J90" s="56">
        <f t="shared" si="66"/>
        <v>0</v>
      </c>
      <c r="K90" s="56">
        <f t="shared" si="66"/>
        <v>0</v>
      </c>
      <c r="L90" s="56">
        <f t="shared" si="66"/>
        <v>0</v>
      </c>
    </row>
    <row r="91" spans="2:13" s="1" customFormat="1" ht="15.75" x14ac:dyDescent="0.25">
      <c r="B91" s="129"/>
      <c r="C91" s="214"/>
      <c r="D91" s="132"/>
      <c r="E91" s="61" t="s">
        <v>6</v>
      </c>
      <c r="F91" s="36">
        <f>SUM(G91:L91)</f>
        <v>0</v>
      </c>
      <c r="G91" s="56">
        <f t="shared" si="65"/>
        <v>0</v>
      </c>
      <c r="H91" s="56">
        <f t="shared" si="66"/>
        <v>0</v>
      </c>
      <c r="I91" s="56">
        <f t="shared" si="66"/>
        <v>0</v>
      </c>
      <c r="J91" s="56">
        <f t="shared" si="66"/>
        <v>0</v>
      </c>
      <c r="K91" s="56">
        <f t="shared" si="66"/>
        <v>0</v>
      </c>
      <c r="L91" s="56">
        <f t="shared" si="66"/>
        <v>0</v>
      </c>
    </row>
    <row r="92" spans="2:13" s="1" customFormat="1" ht="15.75" x14ac:dyDescent="0.25">
      <c r="F92" s="10"/>
      <c r="M92" s="1" t="s">
        <v>122</v>
      </c>
    </row>
    <row r="93" spans="2:13" s="1" customFormat="1" ht="15.75" x14ac:dyDescent="0.25">
      <c r="F93" s="10"/>
      <c r="G93" s="59"/>
      <c r="H93" s="59"/>
      <c r="I93" s="59"/>
      <c r="J93" s="59"/>
      <c r="K93" s="59"/>
      <c r="L93" s="59"/>
    </row>
    <row r="94" spans="2:13" s="1" customFormat="1" ht="15.75" x14ac:dyDescent="0.25">
      <c r="F94" s="10"/>
      <c r="G94" s="59"/>
      <c r="H94" s="59"/>
      <c r="I94" s="59"/>
      <c r="J94" s="59"/>
      <c r="K94" s="59"/>
      <c r="L94" s="59"/>
    </row>
    <row r="95" spans="2:13" s="1" customFormat="1" ht="15.75" x14ac:dyDescent="0.25">
      <c r="F95" s="10"/>
      <c r="G95" s="59"/>
      <c r="H95" s="59"/>
      <c r="I95" s="59"/>
      <c r="J95" s="59"/>
      <c r="K95" s="59"/>
      <c r="L95" s="59"/>
    </row>
    <row r="96" spans="2:13" s="1" customFormat="1" ht="15.75" x14ac:dyDescent="0.25">
      <c r="F96" s="10"/>
      <c r="G96" s="59"/>
      <c r="H96" s="59"/>
      <c r="I96" s="59"/>
      <c r="J96" s="59"/>
      <c r="K96" s="59"/>
      <c r="L96" s="59"/>
    </row>
    <row r="97" spans="6:12" s="1" customFormat="1" ht="15.75" x14ac:dyDescent="0.25">
      <c r="F97" s="10"/>
      <c r="G97" s="59"/>
      <c r="H97" s="59"/>
      <c r="I97" s="59"/>
      <c r="J97" s="59"/>
      <c r="K97" s="59"/>
      <c r="L97" s="59"/>
    </row>
    <row r="98" spans="6:12" s="1" customFormat="1" ht="15.75" x14ac:dyDescent="0.25">
      <c r="F98" s="10"/>
      <c r="G98" s="59"/>
      <c r="I98" s="59"/>
    </row>
    <row r="99" spans="6:12" s="1" customFormat="1" ht="15.75" x14ac:dyDescent="0.25">
      <c r="F99" s="10"/>
    </row>
    <row r="100" spans="6:12" s="1" customFormat="1" ht="15.75" x14ac:dyDescent="0.25">
      <c r="F100" s="10"/>
    </row>
    <row r="101" spans="6:12" s="1" customFormat="1" ht="15.75" x14ac:dyDescent="0.25">
      <c r="F101" s="10"/>
    </row>
    <row r="102" spans="6:12" s="1" customFormat="1" ht="15.75" x14ac:dyDescent="0.25">
      <c r="F102" s="10"/>
    </row>
    <row r="103" spans="6:12" s="1" customFormat="1" ht="15.75" x14ac:dyDescent="0.25">
      <c r="F103" s="10"/>
    </row>
    <row r="104" spans="6:12" s="1" customFormat="1" ht="15.75" x14ac:dyDescent="0.25">
      <c r="F104" s="10"/>
    </row>
    <row r="105" spans="6:12" s="1" customFormat="1" ht="15.75" x14ac:dyDescent="0.25">
      <c r="F105" s="10"/>
    </row>
    <row r="106" spans="6:12" s="1" customFormat="1" ht="15.75" x14ac:dyDescent="0.25">
      <c r="F106" s="10"/>
    </row>
    <row r="107" spans="6:12" s="1" customFormat="1" ht="15.75" x14ac:dyDescent="0.25">
      <c r="F107" s="10"/>
    </row>
    <row r="108" spans="6:12" s="1" customFormat="1" ht="15.75" x14ac:dyDescent="0.25">
      <c r="F108" s="10"/>
    </row>
    <row r="109" spans="6:12" s="1" customFormat="1" ht="15.75" x14ac:dyDescent="0.25">
      <c r="F109" s="10"/>
    </row>
    <row r="110" spans="6:12" s="1" customFormat="1" ht="15.75" x14ac:dyDescent="0.25">
      <c r="F110" s="10"/>
    </row>
    <row r="111" spans="6:12" s="1" customFormat="1" ht="15.75" x14ac:dyDescent="0.25">
      <c r="F111" s="10"/>
    </row>
    <row r="112" spans="6:12" s="1" customFormat="1" ht="15.75" x14ac:dyDescent="0.25">
      <c r="F112" s="10"/>
    </row>
    <row r="113" spans="6:6" s="1" customFormat="1" ht="15.75" x14ac:dyDescent="0.25">
      <c r="F113" s="10"/>
    </row>
    <row r="114" spans="6:6" s="1" customFormat="1" ht="15.75" x14ac:dyDescent="0.25">
      <c r="F114" s="10"/>
    </row>
    <row r="115" spans="6:6" s="1" customFormat="1" ht="15.75" x14ac:dyDescent="0.25">
      <c r="F115" s="10"/>
    </row>
    <row r="116" spans="6:6" s="1" customFormat="1" ht="15.75" x14ac:dyDescent="0.25">
      <c r="F116" s="10"/>
    </row>
    <row r="117" spans="6:6" s="1" customFormat="1" ht="15.75" x14ac:dyDescent="0.25">
      <c r="F117" s="10"/>
    </row>
    <row r="118" spans="6:6" s="1" customFormat="1" ht="15.75" x14ac:dyDescent="0.25">
      <c r="F118" s="10"/>
    </row>
    <row r="119" spans="6:6" s="1" customFormat="1" ht="15.75" x14ac:dyDescent="0.25">
      <c r="F119" s="10"/>
    </row>
    <row r="120" spans="6:6" s="1" customFormat="1" ht="15.75" x14ac:dyDescent="0.25">
      <c r="F120" s="10"/>
    </row>
    <row r="121" spans="6:6" s="1" customFormat="1" ht="15.75" x14ac:dyDescent="0.25">
      <c r="F121" s="10"/>
    </row>
    <row r="122" spans="6:6" s="1" customFormat="1" ht="15.75" x14ac:dyDescent="0.25">
      <c r="F122" s="10"/>
    </row>
    <row r="123" spans="6:6" s="1" customFormat="1" ht="15.75" x14ac:dyDescent="0.25">
      <c r="F123" s="10"/>
    </row>
    <row r="124" spans="6:6" s="1" customFormat="1" ht="15.75" x14ac:dyDescent="0.25">
      <c r="F124" s="10"/>
    </row>
    <row r="125" spans="6:6" s="1" customFormat="1" ht="15.75" x14ac:dyDescent="0.25">
      <c r="F125" s="10"/>
    </row>
    <row r="126" spans="6:6" s="1" customFormat="1" ht="15.75" x14ac:dyDescent="0.25">
      <c r="F126" s="10"/>
    </row>
  </sheetData>
  <mergeCells count="54">
    <mergeCell ref="B10:L10"/>
    <mergeCell ref="B11:L11"/>
    <mergeCell ref="B17:B21"/>
    <mergeCell ref="C17:C21"/>
    <mergeCell ref="D17:D21"/>
    <mergeCell ref="C16:L16"/>
    <mergeCell ref="B13:B14"/>
    <mergeCell ref="C13:C14"/>
    <mergeCell ref="D13:D14"/>
    <mergeCell ref="E13:E14"/>
    <mergeCell ref="F13:F14"/>
    <mergeCell ref="G13:L13"/>
    <mergeCell ref="B87:B91"/>
    <mergeCell ref="C87:C91"/>
    <mergeCell ref="D87:D91"/>
    <mergeCell ref="B52:B56"/>
    <mergeCell ref="C52:C56"/>
    <mergeCell ref="D52:D56"/>
    <mergeCell ref="B57:B61"/>
    <mergeCell ref="C57:C61"/>
    <mergeCell ref="D57:D61"/>
    <mergeCell ref="B62:B66"/>
    <mergeCell ref="C62:C66"/>
    <mergeCell ref="D62:D66"/>
    <mergeCell ref="B72:B76"/>
    <mergeCell ref="C72:C76"/>
    <mergeCell ref="D72:D76"/>
    <mergeCell ref="B67:B71"/>
    <mergeCell ref="B22:B26"/>
    <mergeCell ref="C22:C26"/>
    <mergeCell ref="D22:D26"/>
    <mergeCell ref="B27:B31"/>
    <mergeCell ref="C27:C31"/>
    <mergeCell ref="D27:D31"/>
    <mergeCell ref="B42:B46"/>
    <mergeCell ref="C42:C46"/>
    <mergeCell ref="D42:D46"/>
    <mergeCell ref="B32:B36"/>
    <mergeCell ref="C32:C36"/>
    <mergeCell ref="D32:D36"/>
    <mergeCell ref="B37:B41"/>
    <mergeCell ref="C37:C41"/>
    <mergeCell ref="D37:D41"/>
    <mergeCell ref="C67:C71"/>
    <mergeCell ref="D67:D71"/>
    <mergeCell ref="B47:B51"/>
    <mergeCell ref="C47:C51"/>
    <mergeCell ref="D47:D51"/>
    <mergeCell ref="B77:B81"/>
    <mergeCell ref="C77:C81"/>
    <mergeCell ref="D77:D81"/>
    <mergeCell ref="B82:B86"/>
    <mergeCell ref="C82:C86"/>
    <mergeCell ref="D82:D86"/>
  </mergeCells>
  <pageMargins left="1.3779527559055118" right="0.39370078740157483" top="0.78740157480314965" bottom="0.39370078740157483" header="0.19685039370078741" footer="0.15748031496062992"/>
  <pageSetup paperSize="9" scale="50" fitToHeight="2" orientation="portrait" r:id="rId1"/>
  <headerFooter alignWithMargins="0"/>
  <rowBreaks count="1" manualBreakCount="1">
    <brk id="7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3"/>
  <sheetViews>
    <sheetView view="pageBreakPreview" zoomScaleSheetLayoutView="100" workbookViewId="0">
      <pane xSplit="2" ySplit="15" topLeftCell="C55" activePane="bottomRight" state="frozen"/>
      <selection activeCell="J55" sqref="J55"/>
      <selection pane="topRight" activeCell="J55" sqref="J55"/>
      <selection pane="bottomLeft" activeCell="J55" sqref="J55"/>
      <selection pane="bottomRight" activeCell="L62" sqref="L62"/>
    </sheetView>
  </sheetViews>
  <sheetFormatPr defaultRowHeight="12.75" x14ac:dyDescent="0.2"/>
  <cols>
    <col min="1" max="1" width="3.28515625" style="2" customWidth="1"/>
    <col min="2" max="2" width="7.42578125" style="2" customWidth="1"/>
    <col min="3" max="3" width="50.85546875" style="2" customWidth="1"/>
    <col min="4" max="4" width="17.5703125" style="2" customWidth="1"/>
    <col min="5" max="5" width="20.42578125" style="2" customWidth="1"/>
    <col min="6" max="6" width="11.5703125" style="27" customWidth="1"/>
    <col min="7" max="12" width="9" style="2" customWidth="1"/>
    <col min="13" max="13" width="3" style="2" customWidth="1"/>
    <col min="14" max="14" width="11.28515625" style="2" customWidth="1"/>
    <col min="15" max="16384" width="9.140625" style="2"/>
  </cols>
  <sheetData>
    <row r="1" spans="1:12" ht="15.75" x14ac:dyDescent="0.25">
      <c r="F1" s="1" t="s">
        <v>203</v>
      </c>
      <c r="G1" s="1"/>
    </row>
    <row r="2" spans="1:12" ht="15.75" x14ac:dyDescent="0.25">
      <c r="F2" s="1" t="s">
        <v>120</v>
      </c>
      <c r="G2" s="1"/>
    </row>
    <row r="3" spans="1:12" ht="15.75" x14ac:dyDescent="0.25">
      <c r="F3" s="1" t="str">
        <f>+Свод!G3</f>
        <v>№ 587 от 12.08.2022 г.</v>
      </c>
      <c r="G3" s="1"/>
    </row>
    <row r="4" spans="1:12" x14ac:dyDescent="0.2">
      <c r="F4" s="2"/>
    </row>
    <row r="5" spans="1:12" s="1" customFormat="1" ht="15.75" x14ac:dyDescent="0.25">
      <c r="F5" s="1" t="s">
        <v>119</v>
      </c>
      <c r="G5" s="10"/>
    </row>
    <row r="6" spans="1:12" s="1" customFormat="1" ht="15.75" x14ac:dyDescent="0.25">
      <c r="F6" s="1" t="s">
        <v>69</v>
      </c>
    </row>
    <row r="7" spans="1:12" s="1" customFormat="1" ht="15.75" x14ac:dyDescent="0.25">
      <c r="F7" s="1" t="s">
        <v>132</v>
      </c>
    </row>
    <row r="8" spans="1:12" s="1" customFormat="1" ht="13.5" customHeight="1" x14ac:dyDescent="0.25">
      <c r="F8" s="1" t="s">
        <v>134</v>
      </c>
    </row>
    <row r="9" spans="1:12" s="1" customFormat="1" ht="7.5" customHeight="1" x14ac:dyDescent="0.25">
      <c r="G9" s="10"/>
    </row>
    <row r="10" spans="1:12" s="1" customFormat="1" ht="31.5" customHeight="1" x14ac:dyDescent="0.25">
      <c r="B10" s="159" t="s">
        <v>136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s="1" customFormat="1" ht="19.5" customHeight="1" x14ac:dyDescent="0.25">
      <c r="B11" s="160" t="s">
        <v>131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 s="1" customFormat="1" ht="13.5" customHeight="1" x14ac:dyDescent="0.25">
      <c r="A12" s="1" t="s">
        <v>121</v>
      </c>
      <c r="F12" s="10"/>
    </row>
    <row r="13" spans="1:12" s="1" customFormat="1" ht="15.75" x14ac:dyDescent="0.25">
      <c r="B13" s="150" t="s">
        <v>30</v>
      </c>
      <c r="C13" s="133" t="s">
        <v>31</v>
      </c>
      <c r="D13" s="133" t="s">
        <v>32</v>
      </c>
      <c r="E13" s="133" t="s">
        <v>33</v>
      </c>
      <c r="F13" s="204" t="s">
        <v>34</v>
      </c>
      <c r="G13" s="180" t="s">
        <v>35</v>
      </c>
      <c r="H13" s="181"/>
      <c r="I13" s="181"/>
      <c r="J13" s="181"/>
      <c r="K13" s="181"/>
      <c r="L13" s="182"/>
    </row>
    <row r="14" spans="1:12" s="1" customFormat="1" ht="72.75" customHeight="1" x14ac:dyDescent="0.25">
      <c r="B14" s="152"/>
      <c r="C14" s="134"/>
      <c r="D14" s="134"/>
      <c r="E14" s="134"/>
      <c r="F14" s="134"/>
      <c r="G14" s="96" t="s">
        <v>38</v>
      </c>
      <c r="H14" s="96" t="s">
        <v>43</v>
      </c>
      <c r="I14" s="96" t="s">
        <v>39</v>
      </c>
      <c r="J14" s="96" t="s">
        <v>150</v>
      </c>
      <c r="K14" s="96" t="s">
        <v>152</v>
      </c>
      <c r="L14" s="96" t="s">
        <v>151</v>
      </c>
    </row>
    <row r="15" spans="1:12" s="1" customFormat="1" ht="13.5" customHeight="1" x14ac:dyDescent="0.25">
      <c r="B15" s="29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</row>
    <row r="16" spans="1:12" s="40" customFormat="1" ht="33" customHeight="1" x14ac:dyDescent="0.2">
      <c r="B16" s="97"/>
      <c r="C16" s="223" t="s">
        <v>70</v>
      </c>
      <c r="D16" s="224"/>
      <c r="E16" s="224"/>
      <c r="F16" s="224"/>
      <c r="G16" s="224"/>
      <c r="H16" s="224"/>
      <c r="I16" s="224"/>
      <c r="J16" s="224"/>
      <c r="K16" s="224"/>
      <c r="L16" s="225"/>
    </row>
    <row r="17" spans="2:17" s="40" customFormat="1" ht="41.25" customHeight="1" x14ac:dyDescent="0.2">
      <c r="B17" s="150" t="s">
        <v>0</v>
      </c>
      <c r="C17" s="172" t="s">
        <v>71</v>
      </c>
      <c r="D17" s="133" t="s">
        <v>45</v>
      </c>
      <c r="E17" s="12" t="s">
        <v>2</v>
      </c>
      <c r="F17" s="21">
        <f>SUM(G17:L17)</f>
        <v>49680.2</v>
      </c>
      <c r="G17" s="21">
        <f t="shared" ref="G17:H17" si="0">SUM(G18:G21)</f>
        <v>4608.2</v>
      </c>
      <c r="H17" s="21">
        <f t="shared" si="0"/>
        <v>7800</v>
      </c>
      <c r="I17" s="21">
        <f t="shared" ref="I17:J17" si="1">SUM(I18:I21)</f>
        <v>5240</v>
      </c>
      <c r="J17" s="21">
        <f t="shared" si="1"/>
        <v>9626</v>
      </c>
      <c r="K17" s="21">
        <f t="shared" ref="K17:L17" si="2">SUM(K18:K21)</f>
        <v>11848</v>
      </c>
      <c r="L17" s="21">
        <f t="shared" si="2"/>
        <v>10558</v>
      </c>
    </row>
    <row r="18" spans="2:17" s="40" customFormat="1" ht="41.25" customHeight="1" x14ac:dyDescent="0.2">
      <c r="B18" s="151"/>
      <c r="C18" s="173"/>
      <c r="D18" s="158"/>
      <c r="E18" s="15" t="s">
        <v>5</v>
      </c>
      <c r="F18" s="62">
        <f>SUM(G18:L18)</f>
        <v>47561.3</v>
      </c>
      <c r="G18" s="62">
        <f>G23+G43</f>
        <v>4608.2</v>
      </c>
      <c r="H18" s="62">
        <f t="shared" ref="H18:L18" si="3">H23+H43</f>
        <v>5800</v>
      </c>
      <c r="I18" s="62">
        <f t="shared" si="3"/>
        <v>5121.1000000000004</v>
      </c>
      <c r="J18" s="62">
        <f t="shared" si="3"/>
        <v>9626</v>
      </c>
      <c r="K18" s="62">
        <f t="shared" si="3"/>
        <v>11848</v>
      </c>
      <c r="L18" s="62">
        <f t="shared" si="3"/>
        <v>10558</v>
      </c>
    </row>
    <row r="19" spans="2:17" s="40" customFormat="1" ht="41.25" customHeight="1" x14ac:dyDescent="0.2">
      <c r="B19" s="151"/>
      <c r="C19" s="173"/>
      <c r="D19" s="158"/>
      <c r="E19" s="15" t="s">
        <v>3</v>
      </c>
      <c r="F19" s="21">
        <f>SUM(G19:L19)</f>
        <v>0</v>
      </c>
      <c r="G19" s="62">
        <f t="shared" ref="G19:L21" si="4">G24+G44</f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</row>
    <row r="20" spans="2:17" s="40" customFormat="1" ht="41.25" customHeight="1" x14ac:dyDescent="0.2">
      <c r="B20" s="151"/>
      <c r="C20" s="173"/>
      <c r="D20" s="158"/>
      <c r="E20" s="15" t="s">
        <v>4</v>
      </c>
      <c r="F20" s="21">
        <f>SUM(G20:L20)</f>
        <v>0</v>
      </c>
      <c r="G20" s="62">
        <f t="shared" si="4"/>
        <v>0</v>
      </c>
      <c r="H20" s="62">
        <f t="shared" si="4"/>
        <v>0</v>
      </c>
      <c r="I20" s="62">
        <f t="shared" si="4"/>
        <v>0</v>
      </c>
      <c r="J20" s="62">
        <f t="shared" si="4"/>
        <v>0</v>
      </c>
      <c r="K20" s="62">
        <f t="shared" si="4"/>
        <v>0</v>
      </c>
      <c r="L20" s="62">
        <f t="shared" si="4"/>
        <v>0</v>
      </c>
      <c r="Q20" s="63"/>
    </row>
    <row r="21" spans="2:17" s="40" customFormat="1" ht="41.25" customHeight="1" x14ac:dyDescent="0.2">
      <c r="B21" s="152"/>
      <c r="C21" s="221"/>
      <c r="D21" s="134"/>
      <c r="E21" s="15" t="s">
        <v>6</v>
      </c>
      <c r="F21" s="21">
        <f>SUM(G21:L21)</f>
        <v>2118.9</v>
      </c>
      <c r="G21" s="62">
        <f t="shared" si="4"/>
        <v>0</v>
      </c>
      <c r="H21" s="62">
        <f t="shared" si="4"/>
        <v>2000</v>
      </c>
      <c r="I21" s="62">
        <f t="shared" si="4"/>
        <v>118.9</v>
      </c>
      <c r="J21" s="62">
        <f t="shared" si="4"/>
        <v>0</v>
      </c>
      <c r="K21" s="62">
        <f t="shared" si="4"/>
        <v>0</v>
      </c>
      <c r="L21" s="62">
        <f t="shared" si="4"/>
        <v>0</v>
      </c>
    </row>
    <row r="22" spans="2:17" s="40" customFormat="1" ht="15.75" x14ac:dyDescent="0.2">
      <c r="B22" s="150" t="s">
        <v>17</v>
      </c>
      <c r="C22" s="172" t="s">
        <v>72</v>
      </c>
      <c r="D22" s="133" t="s">
        <v>1</v>
      </c>
      <c r="E22" s="12" t="s">
        <v>2</v>
      </c>
      <c r="F22" s="21">
        <f t="shared" ref="F22:G22" si="5">SUM(F23:F26)</f>
        <v>43008.3</v>
      </c>
      <c r="G22" s="21">
        <f t="shared" si="5"/>
        <v>3767.2</v>
      </c>
      <c r="H22" s="21">
        <f t="shared" ref="H22:J22" si="6">SUM(H23:H26)</f>
        <v>3986</v>
      </c>
      <c r="I22" s="21">
        <f t="shared" si="6"/>
        <v>3903.1</v>
      </c>
      <c r="J22" s="21">
        <f t="shared" si="6"/>
        <v>8989</v>
      </c>
      <c r="K22" s="21">
        <f t="shared" ref="K22:L22" si="7">SUM(K23:K26)</f>
        <v>11805</v>
      </c>
      <c r="L22" s="21">
        <f t="shared" si="7"/>
        <v>10558</v>
      </c>
    </row>
    <row r="23" spans="2:17" s="40" customFormat="1" ht="15.75" x14ac:dyDescent="0.2">
      <c r="B23" s="151"/>
      <c r="C23" s="173"/>
      <c r="D23" s="158"/>
      <c r="E23" s="15" t="s">
        <v>5</v>
      </c>
      <c r="F23" s="62">
        <f>SUM(G23:L23)</f>
        <v>43008.3</v>
      </c>
      <c r="G23" s="62">
        <f>G28+G33+G38</f>
        <v>3767.2</v>
      </c>
      <c r="H23" s="62">
        <f>H28+H33+H38</f>
        <v>3986</v>
      </c>
      <c r="I23" s="62">
        <f t="shared" ref="I23:J23" si="8">I28+I33+I38</f>
        <v>3903.1</v>
      </c>
      <c r="J23" s="62">
        <f t="shared" si="8"/>
        <v>8989</v>
      </c>
      <c r="K23" s="62">
        <f t="shared" ref="K23:L23" si="9">K28+K33+K38</f>
        <v>11805</v>
      </c>
      <c r="L23" s="62">
        <f t="shared" si="9"/>
        <v>10558</v>
      </c>
      <c r="N23" s="64"/>
    </row>
    <row r="24" spans="2:17" s="40" customFormat="1" ht="15.75" x14ac:dyDescent="0.2">
      <c r="B24" s="151"/>
      <c r="C24" s="191"/>
      <c r="D24" s="158"/>
      <c r="E24" s="15" t="s">
        <v>3</v>
      </c>
      <c r="F24" s="62">
        <f>SUM(G24:L24)</f>
        <v>0</v>
      </c>
      <c r="G24" s="62">
        <f t="shared" ref="G24:H26" si="10">G29+G34+G39</f>
        <v>0</v>
      </c>
      <c r="H24" s="62">
        <f t="shared" si="10"/>
        <v>0</v>
      </c>
      <c r="I24" s="62">
        <f t="shared" ref="I24:J24" si="11">I29+I34+I39</f>
        <v>0</v>
      </c>
      <c r="J24" s="62">
        <f t="shared" si="11"/>
        <v>0</v>
      </c>
      <c r="K24" s="62">
        <f t="shared" ref="K24:L24" si="12">K29+K34+K39</f>
        <v>0</v>
      </c>
      <c r="L24" s="62">
        <f t="shared" si="12"/>
        <v>0</v>
      </c>
    </row>
    <row r="25" spans="2:17" s="40" customFormat="1" ht="15.75" x14ac:dyDescent="0.2">
      <c r="B25" s="151"/>
      <c r="C25" s="191"/>
      <c r="D25" s="158"/>
      <c r="E25" s="15" t="s">
        <v>4</v>
      </c>
      <c r="F25" s="62">
        <f>SUM(G25:L25)</f>
        <v>0</v>
      </c>
      <c r="G25" s="62">
        <f t="shared" si="10"/>
        <v>0</v>
      </c>
      <c r="H25" s="62">
        <f t="shared" si="10"/>
        <v>0</v>
      </c>
      <c r="I25" s="62">
        <f t="shared" ref="I25:J25" si="13">I30+I35+I40</f>
        <v>0</v>
      </c>
      <c r="J25" s="62">
        <f t="shared" si="13"/>
        <v>0</v>
      </c>
      <c r="K25" s="62">
        <f t="shared" ref="K25:L25" si="14">K30+K35+K40</f>
        <v>0</v>
      </c>
      <c r="L25" s="62">
        <f t="shared" si="14"/>
        <v>0</v>
      </c>
    </row>
    <row r="26" spans="2:17" s="40" customFormat="1" ht="15.75" x14ac:dyDescent="0.2">
      <c r="B26" s="152"/>
      <c r="C26" s="192"/>
      <c r="D26" s="134"/>
      <c r="E26" s="15" t="s">
        <v>6</v>
      </c>
      <c r="F26" s="21">
        <f>SUM(G26:L26)</f>
        <v>0</v>
      </c>
      <c r="G26" s="62">
        <f t="shared" si="10"/>
        <v>0</v>
      </c>
      <c r="H26" s="62">
        <f t="shared" si="10"/>
        <v>0</v>
      </c>
      <c r="I26" s="62">
        <f t="shared" ref="I26:J26" si="15">I31+I36+I41</f>
        <v>0</v>
      </c>
      <c r="J26" s="62">
        <f t="shared" si="15"/>
        <v>0</v>
      </c>
      <c r="K26" s="62">
        <f t="shared" ref="K26:L26" si="16">K31+K36+K41</f>
        <v>0</v>
      </c>
      <c r="L26" s="62">
        <f t="shared" si="16"/>
        <v>0</v>
      </c>
    </row>
    <row r="27" spans="2:17" s="40" customFormat="1" ht="15.75" x14ac:dyDescent="0.2">
      <c r="B27" s="142" t="s">
        <v>18</v>
      </c>
      <c r="C27" s="188" t="s">
        <v>256</v>
      </c>
      <c r="D27" s="133" t="s">
        <v>1</v>
      </c>
      <c r="E27" s="12" t="s">
        <v>2</v>
      </c>
      <c r="F27" s="21">
        <f t="shared" ref="F27" si="17">SUM(F28:F31)</f>
        <v>6168.2</v>
      </c>
      <c r="G27" s="21">
        <f t="shared" ref="G27" si="18">SUM(G28:G31)</f>
        <v>899.2</v>
      </c>
      <c r="H27" s="21">
        <f t="shared" ref="H27:J27" si="19">SUM(H28:H31)</f>
        <v>1475</v>
      </c>
      <c r="I27" s="21">
        <f t="shared" si="19"/>
        <v>1548</v>
      </c>
      <c r="J27" s="21">
        <f t="shared" si="19"/>
        <v>722</v>
      </c>
      <c r="K27" s="21">
        <f t="shared" ref="K27:L27" si="20">SUM(K28:K31)</f>
        <v>884</v>
      </c>
      <c r="L27" s="21">
        <f t="shared" si="20"/>
        <v>640</v>
      </c>
    </row>
    <row r="28" spans="2:17" s="40" customFormat="1" ht="15.75" x14ac:dyDescent="0.2">
      <c r="B28" s="143"/>
      <c r="C28" s="191"/>
      <c r="D28" s="158"/>
      <c r="E28" s="15" t="s">
        <v>5</v>
      </c>
      <c r="F28" s="62">
        <f>SUM(G28:L28)</f>
        <v>6168.2</v>
      </c>
      <c r="G28" s="62">
        <v>899.2</v>
      </c>
      <c r="H28" s="62">
        <v>1475</v>
      </c>
      <c r="I28" s="62">
        <v>1548</v>
      </c>
      <c r="J28" s="62">
        <f>355+141+65+87+62+12</f>
        <v>722</v>
      </c>
      <c r="K28" s="62">
        <f>673+43+80+4+71+13</f>
        <v>884</v>
      </c>
      <c r="L28" s="62">
        <f>213+151+67+65+132+12</f>
        <v>640</v>
      </c>
    </row>
    <row r="29" spans="2:17" s="40" customFormat="1" ht="15.75" x14ac:dyDescent="0.2">
      <c r="B29" s="143"/>
      <c r="C29" s="191"/>
      <c r="D29" s="158"/>
      <c r="E29" s="15" t="s">
        <v>3</v>
      </c>
      <c r="F29" s="62">
        <f>SUM(G29:L29)</f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</row>
    <row r="30" spans="2:17" s="40" customFormat="1" ht="15.75" x14ac:dyDescent="0.2">
      <c r="B30" s="143"/>
      <c r="C30" s="191"/>
      <c r="D30" s="158"/>
      <c r="E30" s="15" t="s">
        <v>4</v>
      </c>
      <c r="F30" s="62">
        <f>SUM(G30:L30)</f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</row>
    <row r="31" spans="2:17" s="40" customFormat="1" ht="15.75" x14ac:dyDescent="0.2">
      <c r="B31" s="144"/>
      <c r="C31" s="192"/>
      <c r="D31" s="134"/>
      <c r="E31" s="15" t="s">
        <v>6</v>
      </c>
      <c r="F31" s="62">
        <f>SUM(G31:L31)</f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</row>
    <row r="32" spans="2:17" s="40" customFormat="1" ht="15.75" x14ac:dyDescent="0.2">
      <c r="B32" s="142" t="s">
        <v>50</v>
      </c>
      <c r="C32" s="188" t="s">
        <v>73</v>
      </c>
      <c r="D32" s="133" t="s">
        <v>1</v>
      </c>
      <c r="E32" s="12" t="s">
        <v>2</v>
      </c>
      <c r="F32" s="21">
        <f t="shared" ref="F32:G32" si="21">SUM(F33:F36)</f>
        <v>1459</v>
      </c>
      <c r="G32" s="21">
        <f t="shared" si="21"/>
        <v>166</v>
      </c>
      <c r="H32" s="21">
        <f t="shared" ref="H32:J32" si="22">SUM(H33:H36)</f>
        <v>202</v>
      </c>
      <c r="I32" s="21">
        <f t="shared" si="22"/>
        <v>327</v>
      </c>
      <c r="J32" s="21">
        <f t="shared" si="22"/>
        <v>226</v>
      </c>
      <c r="K32" s="21">
        <f t="shared" ref="K32:L32" si="23">SUM(K33:K36)</f>
        <v>276</v>
      </c>
      <c r="L32" s="21">
        <f t="shared" si="23"/>
        <v>262</v>
      </c>
    </row>
    <row r="33" spans="2:12" s="40" customFormat="1" ht="15.75" x14ac:dyDescent="0.2">
      <c r="B33" s="143"/>
      <c r="C33" s="191"/>
      <c r="D33" s="158"/>
      <c r="E33" s="15" t="s">
        <v>5</v>
      </c>
      <c r="F33" s="62">
        <f>SUM(G33:L33)</f>
        <v>1459</v>
      </c>
      <c r="G33" s="62">
        <v>166</v>
      </c>
      <c r="H33" s="62">
        <v>202</v>
      </c>
      <c r="I33" s="62">
        <v>327</v>
      </c>
      <c r="J33" s="62">
        <f>83+60+64+19</f>
        <v>226</v>
      </c>
      <c r="K33" s="62">
        <f>5+173+23+75</f>
        <v>276</v>
      </c>
      <c r="L33" s="62">
        <f>40+133+19+70</f>
        <v>262</v>
      </c>
    </row>
    <row r="34" spans="2:12" s="40" customFormat="1" ht="15.75" x14ac:dyDescent="0.2">
      <c r="B34" s="143"/>
      <c r="C34" s="191"/>
      <c r="D34" s="158"/>
      <c r="E34" s="15" t="s">
        <v>3</v>
      </c>
      <c r="F34" s="62">
        <f>SUM(G34:L34)</f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</row>
    <row r="35" spans="2:12" s="40" customFormat="1" ht="15.75" x14ac:dyDescent="0.2">
      <c r="B35" s="143"/>
      <c r="C35" s="191"/>
      <c r="D35" s="158"/>
      <c r="E35" s="15" t="s">
        <v>4</v>
      </c>
      <c r="F35" s="62">
        <f>SUM(G35:L35)</f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</row>
    <row r="36" spans="2:12" s="40" customFormat="1" ht="15.75" x14ac:dyDescent="0.2">
      <c r="B36" s="144"/>
      <c r="C36" s="192"/>
      <c r="D36" s="134"/>
      <c r="E36" s="15" t="s">
        <v>6</v>
      </c>
      <c r="F36" s="62">
        <f>SUM(G36:L36)</f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</row>
    <row r="37" spans="2:12" s="40" customFormat="1" ht="19.5" customHeight="1" x14ac:dyDescent="0.2">
      <c r="B37" s="171" t="s">
        <v>74</v>
      </c>
      <c r="C37" s="188" t="s">
        <v>257</v>
      </c>
      <c r="D37" s="133" t="s">
        <v>1</v>
      </c>
      <c r="E37" s="12" t="s">
        <v>2</v>
      </c>
      <c r="F37" s="21">
        <f t="shared" ref="F37:G37" si="24">SUM(F38:F41)</f>
        <v>35381.1</v>
      </c>
      <c r="G37" s="21">
        <f t="shared" si="24"/>
        <v>2702</v>
      </c>
      <c r="H37" s="21">
        <f t="shared" ref="H37:J37" si="25">SUM(H38:H41)</f>
        <v>2309</v>
      </c>
      <c r="I37" s="21">
        <f t="shared" si="25"/>
        <v>2028.1</v>
      </c>
      <c r="J37" s="21">
        <f t="shared" si="25"/>
        <v>8041</v>
      </c>
      <c r="K37" s="21">
        <f t="shared" ref="K37:L37" si="26">SUM(K38:K41)</f>
        <v>10645</v>
      </c>
      <c r="L37" s="21">
        <f t="shared" si="26"/>
        <v>9656</v>
      </c>
    </row>
    <row r="38" spans="2:12" s="40" customFormat="1" ht="19.5" customHeight="1" x14ac:dyDescent="0.2">
      <c r="B38" s="222"/>
      <c r="C38" s="191"/>
      <c r="D38" s="158"/>
      <c r="E38" s="15" t="s">
        <v>5</v>
      </c>
      <c r="F38" s="62">
        <f>SUM(G38:L38)</f>
        <v>35381.1</v>
      </c>
      <c r="G38" s="62">
        <v>2702</v>
      </c>
      <c r="H38" s="62">
        <v>2309</v>
      </c>
      <c r="I38" s="62">
        <v>2028.1</v>
      </c>
      <c r="J38" s="62">
        <v>8041</v>
      </c>
      <c r="K38" s="62">
        <v>10645</v>
      </c>
      <c r="L38" s="62">
        <v>9656</v>
      </c>
    </row>
    <row r="39" spans="2:12" s="40" customFormat="1" ht="19.5" customHeight="1" x14ac:dyDescent="0.2">
      <c r="B39" s="219"/>
      <c r="C39" s="191"/>
      <c r="D39" s="158"/>
      <c r="E39" s="15" t="s">
        <v>3</v>
      </c>
      <c r="F39" s="62">
        <f>SUM(G39:L39)</f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</row>
    <row r="40" spans="2:12" s="40" customFormat="1" ht="19.5" customHeight="1" x14ac:dyDescent="0.2">
      <c r="B40" s="219"/>
      <c r="C40" s="191"/>
      <c r="D40" s="158"/>
      <c r="E40" s="15" t="s">
        <v>4</v>
      </c>
      <c r="F40" s="62">
        <f>SUM(G40:L40)</f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</row>
    <row r="41" spans="2:12" s="40" customFormat="1" ht="19.5" customHeight="1" x14ac:dyDescent="0.2">
      <c r="B41" s="220"/>
      <c r="C41" s="192"/>
      <c r="D41" s="134"/>
      <c r="E41" s="15" t="s">
        <v>6</v>
      </c>
      <c r="F41" s="21">
        <f>SUM(G41:L41)</f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</row>
    <row r="42" spans="2:12" s="40" customFormat="1" ht="15.75" x14ac:dyDescent="0.2">
      <c r="B42" s="150" t="s">
        <v>19</v>
      </c>
      <c r="C42" s="172" t="s">
        <v>77</v>
      </c>
      <c r="D42" s="133" t="s">
        <v>1</v>
      </c>
      <c r="E42" s="12" t="s">
        <v>2</v>
      </c>
      <c r="F42" s="21">
        <f t="shared" ref="F42:G42" si="27">SUM(F43:F46)</f>
        <v>6671.9</v>
      </c>
      <c r="G42" s="21">
        <f t="shared" si="27"/>
        <v>841</v>
      </c>
      <c r="H42" s="21">
        <f t="shared" ref="H42:J42" si="28">SUM(H43:H46)</f>
        <v>3814</v>
      </c>
      <c r="I42" s="21">
        <f t="shared" si="28"/>
        <v>1336.9</v>
      </c>
      <c r="J42" s="21">
        <f t="shared" si="28"/>
        <v>637</v>
      </c>
      <c r="K42" s="21">
        <f t="shared" ref="K42:L42" si="29">SUM(K43:K46)</f>
        <v>43</v>
      </c>
      <c r="L42" s="21">
        <f t="shared" si="29"/>
        <v>0</v>
      </c>
    </row>
    <row r="43" spans="2:12" s="40" customFormat="1" ht="15.75" x14ac:dyDescent="0.2">
      <c r="B43" s="151"/>
      <c r="C43" s="173"/>
      <c r="D43" s="158"/>
      <c r="E43" s="15" t="s">
        <v>5</v>
      </c>
      <c r="F43" s="62">
        <f t="shared" ref="F43:F51" si="30">SUM(G43:L43)</f>
        <v>4553</v>
      </c>
      <c r="G43" s="62">
        <v>841</v>
      </c>
      <c r="H43" s="62">
        <v>1814</v>
      </c>
      <c r="I43" s="62">
        <v>1218</v>
      </c>
      <c r="J43" s="62">
        <v>637</v>
      </c>
      <c r="K43" s="62">
        <f>29+14</f>
        <v>43</v>
      </c>
      <c r="L43" s="62">
        <v>0</v>
      </c>
    </row>
    <row r="44" spans="2:12" s="40" customFormat="1" ht="15.75" x14ac:dyDescent="0.2">
      <c r="B44" s="151"/>
      <c r="C44" s="173"/>
      <c r="D44" s="158"/>
      <c r="E44" s="15" t="s">
        <v>3</v>
      </c>
      <c r="F44" s="62">
        <f t="shared" si="30"/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</row>
    <row r="45" spans="2:12" s="40" customFormat="1" ht="15.75" x14ac:dyDescent="0.2">
      <c r="B45" s="151"/>
      <c r="C45" s="173"/>
      <c r="D45" s="158"/>
      <c r="E45" s="15" t="s">
        <v>4</v>
      </c>
      <c r="F45" s="62">
        <f t="shared" si="30"/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</row>
    <row r="46" spans="2:12" s="40" customFormat="1" ht="15.75" x14ac:dyDescent="0.2">
      <c r="B46" s="152"/>
      <c r="C46" s="221"/>
      <c r="D46" s="134"/>
      <c r="E46" s="65" t="s">
        <v>6</v>
      </c>
      <c r="F46" s="62">
        <f t="shared" si="30"/>
        <v>2118.9</v>
      </c>
      <c r="G46" s="62">
        <v>0</v>
      </c>
      <c r="H46" s="62">
        <f>830+1170</f>
        <v>2000</v>
      </c>
      <c r="I46" s="62">
        <v>118.9</v>
      </c>
      <c r="J46" s="62">
        <v>0</v>
      </c>
      <c r="K46" s="62">
        <v>0</v>
      </c>
      <c r="L46" s="62">
        <v>0</v>
      </c>
    </row>
    <row r="47" spans="2:12" s="40" customFormat="1" ht="15.75" x14ac:dyDescent="0.2">
      <c r="B47" s="150">
        <v>2</v>
      </c>
      <c r="C47" s="168" t="s">
        <v>153</v>
      </c>
      <c r="D47" s="133" t="s">
        <v>45</v>
      </c>
      <c r="E47" s="12" t="s">
        <v>2</v>
      </c>
      <c r="F47" s="21">
        <f t="shared" si="30"/>
        <v>333</v>
      </c>
      <c r="G47" s="21">
        <f t="shared" ref="G47:H47" si="31">SUM(G48:G51)</f>
        <v>109</v>
      </c>
      <c r="H47" s="21">
        <f t="shared" si="31"/>
        <v>40</v>
      </c>
      <c r="I47" s="21">
        <f t="shared" ref="I47:J47" si="32">SUM(I48:I51)</f>
        <v>8</v>
      </c>
      <c r="J47" s="21">
        <f t="shared" si="32"/>
        <v>65</v>
      </c>
      <c r="K47" s="21">
        <f t="shared" ref="K47:L47" si="33">SUM(K48:K51)</f>
        <v>55</v>
      </c>
      <c r="L47" s="21">
        <f t="shared" si="33"/>
        <v>56</v>
      </c>
    </row>
    <row r="48" spans="2:12" s="40" customFormat="1" ht="15.75" x14ac:dyDescent="0.2">
      <c r="B48" s="151"/>
      <c r="C48" s="169"/>
      <c r="D48" s="158"/>
      <c r="E48" s="15" t="s">
        <v>5</v>
      </c>
      <c r="F48" s="21">
        <f t="shared" si="30"/>
        <v>333</v>
      </c>
      <c r="G48" s="62">
        <f t="shared" ref="G48:H51" si="34">G53</f>
        <v>109</v>
      </c>
      <c r="H48" s="62">
        <f t="shared" si="34"/>
        <v>40</v>
      </c>
      <c r="I48" s="62">
        <f t="shared" ref="I48:J48" si="35">I53</f>
        <v>8</v>
      </c>
      <c r="J48" s="62">
        <f t="shared" si="35"/>
        <v>65</v>
      </c>
      <c r="K48" s="62">
        <f t="shared" ref="K48:L48" si="36">K53</f>
        <v>55</v>
      </c>
      <c r="L48" s="62">
        <f t="shared" si="36"/>
        <v>56</v>
      </c>
    </row>
    <row r="49" spans="2:17" s="40" customFormat="1" ht="15.75" x14ac:dyDescent="0.2">
      <c r="B49" s="151"/>
      <c r="C49" s="169"/>
      <c r="D49" s="158"/>
      <c r="E49" s="15" t="s">
        <v>3</v>
      </c>
      <c r="F49" s="21">
        <f t="shared" si="30"/>
        <v>0</v>
      </c>
      <c r="G49" s="62">
        <f t="shared" si="34"/>
        <v>0</v>
      </c>
      <c r="H49" s="62">
        <f t="shared" si="34"/>
        <v>0</v>
      </c>
      <c r="I49" s="62">
        <f t="shared" ref="I49:J49" si="37">I54</f>
        <v>0</v>
      </c>
      <c r="J49" s="62">
        <f t="shared" si="37"/>
        <v>0</v>
      </c>
      <c r="K49" s="62">
        <f t="shared" ref="K49:L49" si="38">K54</f>
        <v>0</v>
      </c>
      <c r="L49" s="62">
        <f t="shared" si="38"/>
        <v>0</v>
      </c>
    </row>
    <row r="50" spans="2:17" s="40" customFormat="1" ht="15.75" x14ac:dyDescent="0.2">
      <c r="B50" s="151"/>
      <c r="C50" s="169"/>
      <c r="D50" s="158"/>
      <c r="E50" s="15" t="s">
        <v>4</v>
      </c>
      <c r="F50" s="21">
        <f t="shared" si="30"/>
        <v>0</v>
      </c>
      <c r="G50" s="62">
        <f t="shared" si="34"/>
        <v>0</v>
      </c>
      <c r="H50" s="62">
        <f t="shared" si="34"/>
        <v>0</v>
      </c>
      <c r="I50" s="62">
        <f t="shared" ref="I50:J50" si="39">I55</f>
        <v>0</v>
      </c>
      <c r="J50" s="62">
        <f t="shared" si="39"/>
        <v>0</v>
      </c>
      <c r="K50" s="62">
        <f t="shared" ref="K50:L50" si="40">K55</f>
        <v>0</v>
      </c>
      <c r="L50" s="62">
        <f t="shared" si="40"/>
        <v>0</v>
      </c>
      <c r="Q50" s="63"/>
    </row>
    <row r="51" spans="2:17" s="40" customFormat="1" ht="15.75" x14ac:dyDescent="0.2">
      <c r="B51" s="152"/>
      <c r="C51" s="170"/>
      <c r="D51" s="134"/>
      <c r="E51" s="15" t="s">
        <v>6</v>
      </c>
      <c r="F51" s="21">
        <f t="shared" si="30"/>
        <v>0</v>
      </c>
      <c r="G51" s="62">
        <f t="shared" si="34"/>
        <v>0</v>
      </c>
      <c r="H51" s="62">
        <f t="shared" si="34"/>
        <v>0</v>
      </c>
      <c r="I51" s="62">
        <f t="shared" ref="I51:J51" si="41">I56</f>
        <v>0</v>
      </c>
      <c r="J51" s="62">
        <f t="shared" si="41"/>
        <v>0</v>
      </c>
      <c r="K51" s="62">
        <f t="shared" ref="K51:L51" si="42">K56</f>
        <v>0</v>
      </c>
      <c r="L51" s="62">
        <f t="shared" si="42"/>
        <v>0</v>
      </c>
    </row>
    <row r="52" spans="2:17" s="40" customFormat="1" ht="15.75" x14ac:dyDescent="0.2">
      <c r="B52" s="218" t="s">
        <v>11</v>
      </c>
      <c r="C52" s="188" t="s">
        <v>75</v>
      </c>
      <c r="D52" s="174" t="s">
        <v>1</v>
      </c>
      <c r="E52" s="12" t="s">
        <v>2</v>
      </c>
      <c r="F52" s="21">
        <f t="shared" ref="F52:G52" si="43">SUM(F53:F56)</f>
        <v>333</v>
      </c>
      <c r="G52" s="21">
        <f t="shared" si="43"/>
        <v>109</v>
      </c>
      <c r="H52" s="21">
        <f t="shared" ref="H52:J52" si="44">SUM(H53:H56)</f>
        <v>40</v>
      </c>
      <c r="I52" s="21">
        <f t="shared" si="44"/>
        <v>8</v>
      </c>
      <c r="J52" s="21">
        <f t="shared" si="44"/>
        <v>65</v>
      </c>
      <c r="K52" s="21">
        <f t="shared" ref="K52:L52" si="45">SUM(K53:K56)</f>
        <v>55</v>
      </c>
      <c r="L52" s="21">
        <f t="shared" si="45"/>
        <v>56</v>
      </c>
    </row>
    <row r="53" spans="2:17" s="40" customFormat="1" ht="15.75" x14ac:dyDescent="0.2">
      <c r="B53" s="219"/>
      <c r="C53" s="191"/>
      <c r="D53" s="175"/>
      <c r="E53" s="15" t="s">
        <v>5</v>
      </c>
      <c r="F53" s="62">
        <f>SUM(G53:L53)</f>
        <v>333</v>
      </c>
      <c r="G53" s="62">
        <f t="shared" ref="G53:H56" si="46">G58</f>
        <v>109</v>
      </c>
      <c r="H53" s="62">
        <f t="shared" si="46"/>
        <v>40</v>
      </c>
      <c r="I53" s="62">
        <v>8</v>
      </c>
      <c r="J53" s="62">
        <f t="shared" ref="J53" si="47">J58</f>
        <v>65</v>
      </c>
      <c r="K53" s="62">
        <f t="shared" ref="K53:L53" si="48">K58</f>
        <v>55</v>
      </c>
      <c r="L53" s="62">
        <f t="shared" si="48"/>
        <v>56</v>
      </c>
    </row>
    <row r="54" spans="2:17" s="40" customFormat="1" ht="15.75" x14ac:dyDescent="0.2">
      <c r="B54" s="219"/>
      <c r="C54" s="191"/>
      <c r="D54" s="175"/>
      <c r="E54" s="15" t="s">
        <v>3</v>
      </c>
      <c r="F54" s="62">
        <f>SUM(G54:L54)</f>
        <v>0</v>
      </c>
      <c r="G54" s="62">
        <f t="shared" si="46"/>
        <v>0</v>
      </c>
      <c r="H54" s="62">
        <f t="shared" si="46"/>
        <v>0</v>
      </c>
      <c r="I54" s="62">
        <f t="shared" ref="I54:J54" si="49">I59</f>
        <v>0</v>
      </c>
      <c r="J54" s="62">
        <f t="shared" si="49"/>
        <v>0</v>
      </c>
      <c r="K54" s="62">
        <f t="shared" ref="K54:L54" si="50">K59</f>
        <v>0</v>
      </c>
      <c r="L54" s="62">
        <f t="shared" si="50"/>
        <v>0</v>
      </c>
    </row>
    <row r="55" spans="2:17" s="40" customFormat="1" ht="15.75" x14ac:dyDescent="0.2">
      <c r="B55" s="219"/>
      <c r="C55" s="191"/>
      <c r="D55" s="175"/>
      <c r="E55" s="15" t="s">
        <v>4</v>
      </c>
      <c r="F55" s="62">
        <f>SUM(G55:L55)</f>
        <v>0</v>
      </c>
      <c r="G55" s="62">
        <f t="shared" si="46"/>
        <v>0</v>
      </c>
      <c r="H55" s="62">
        <f t="shared" si="46"/>
        <v>0</v>
      </c>
      <c r="I55" s="62">
        <f t="shared" ref="I55:J55" si="51">I60</f>
        <v>0</v>
      </c>
      <c r="J55" s="62">
        <f t="shared" si="51"/>
        <v>0</v>
      </c>
      <c r="K55" s="62">
        <f t="shared" ref="K55:L55" si="52">K60</f>
        <v>0</v>
      </c>
      <c r="L55" s="62">
        <f t="shared" si="52"/>
        <v>0</v>
      </c>
    </row>
    <row r="56" spans="2:17" s="40" customFormat="1" ht="15.75" x14ac:dyDescent="0.2">
      <c r="B56" s="220"/>
      <c r="C56" s="192"/>
      <c r="D56" s="176"/>
      <c r="E56" s="65" t="s">
        <v>6</v>
      </c>
      <c r="F56" s="62">
        <f>SUM(G56:L56)</f>
        <v>0</v>
      </c>
      <c r="G56" s="62">
        <f t="shared" si="46"/>
        <v>0</v>
      </c>
      <c r="H56" s="62">
        <f t="shared" si="46"/>
        <v>0</v>
      </c>
      <c r="I56" s="62">
        <f t="shared" ref="I56:J56" si="53">I61</f>
        <v>0</v>
      </c>
      <c r="J56" s="62">
        <f t="shared" si="53"/>
        <v>0</v>
      </c>
      <c r="K56" s="62">
        <f t="shared" ref="K56:L56" si="54">K61</f>
        <v>0</v>
      </c>
      <c r="L56" s="62">
        <f t="shared" si="54"/>
        <v>0</v>
      </c>
    </row>
    <row r="57" spans="2:17" s="40" customFormat="1" ht="21.75" customHeight="1" x14ac:dyDescent="0.2">
      <c r="B57" s="218" t="s">
        <v>116</v>
      </c>
      <c r="C57" s="188" t="s">
        <v>76</v>
      </c>
      <c r="D57" s="174" t="s">
        <v>1</v>
      </c>
      <c r="E57" s="12" t="s">
        <v>2</v>
      </c>
      <c r="F57" s="21">
        <f t="shared" ref="F57:G57" si="55">SUM(F58:F61)</f>
        <v>333</v>
      </c>
      <c r="G57" s="21">
        <f t="shared" si="55"/>
        <v>109</v>
      </c>
      <c r="H57" s="21">
        <f t="shared" ref="H57:J57" si="56">SUM(H58:H61)</f>
        <v>40</v>
      </c>
      <c r="I57" s="21">
        <f t="shared" si="56"/>
        <v>8</v>
      </c>
      <c r="J57" s="21">
        <f t="shared" si="56"/>
        <v>65</v>
      </c>
      <c r="K57" s="21">
        <f t="shared" ref="K57:L57" si="57">SUM(K58:K61)</f>
        <v>55</v>
      </c>
      <c r="L57" s="21">
        <f t="shared" si="57"/>
        <v>56</v>
      </c>
    </row>
    <row r="58" spans="2:17" s="40" customFormat="1" ht="21.75" customHeight="1" x14ac:dyDescent="0.2">
      <c r="B58" s="219"/>
      <c r="C58" s="191"/>
      <c r="D58" s="175"/>
      <c r="E58" s="15" t="s">
        <v>5</v>
      </c>
      <c r="F58" s="62">
        <f>SUM(G58:L58)</f>
        <v>333</v>
      </c>
      <c r="G58" s="62">
        <v>109</v>
      </c>
      <c r="H58" s="62">
        <v>40</v>
      </c>
      <c r="I58" s="62">
        <v>8</v>
      </c>
      <c r="J58" s="62">
        <v>65</v>
      </c>
      <c r="K58" s="62">
        <v>55</v>
      </c>
      <c r="L58" s="62">
        <v>56</v>
      </c>
    </row>
    <row r="59" spans="2:17" s="40" customFormat="1" ht="21.75" customHeight="1" x14ac:dyDescent="0.2">
      <c r="B59" s="219"/>
      <c r="C59" s="191"/>
      <c r="D59" s="175"/>
      <c r="E59" s="15" t="s">
        <v>3</v>
      </c>
      <c r="F59" s="62">
        <f>SUM(G59:L59)</f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</row>
    <row r="60" spans="2:17" s="40" customFormat="1" ht="21.75" customHeight="1" x14ac:dyDescent="0.2">
      <c r="B60" s="219"/>
      <c r="C60" s="191"/>
      <c r="D60" s="175"/>
      <c r="E60" s="15" t="s">
        <v>4</v>
      </c>
      <c r="F60" s="62">
        <f>SUM(G60:L60)</f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</row>
    <row r="61" spans="2:17" s="40" customFormat="1" ht="21.75" customHeight="1" x14ac:dyDescent="0.2">
      <c r="B61" s="220"/>
      <c r="C61" s="192"/>
      <c r="D61" s="176"/>
      <c r="E61" s="65" t="s">
        <v>6</v>
      </c>
      <c r="F61" s="62">
        <f>SUM(G61:L61)</f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</row>
    <row r="62" spans="2:17" s="40" customFormat="1" ht="16.5" customHeight="1" x14ac:dyDescent="0.2">
      <c r="B62" s="150"/>
      <c r="C62" s="215"/>
      <c r="D62" s="133" t="s">
        <v>1</v>
      </c>
      <c r="E62" s="66" t="s">
        <v>2</v>
      </c>
      <c r="F62" s="21">
        <f t="shared" ref="F62:L62" si="58">SUM(F63:F66)</f>
        <v>50013.200000000004</v>
      </c>
      <c r="G62" s="21">
        <f>SUM(G63:G66)</f>
        <v>4717.2</v>
      </c>
      <c r="H62" s="21">
        <f t="shared" si="58"/>
        <v>7840</v>
      </c>
      <c r="I62" s="77">
        <f>SUM(I63:I66)</f>
        <v>5248</v>
      </c>
      <c r="J62" s="21">
        <f t="shared" si="58"/>
        <v>9691</v>
      </c>
      <c r="K62" s="21">
        <f t="shared" si="58"/>
        <v>11903</v>
      </c>
      <c r="L62" s="21">
        <f t="shared" si="58"/>
        <v>10614</v>
      </c>
    </row>
    <row r="63" spans="2:17" s="40" customFormat="1" ht="16.5" customHeight="1" x14ac:dyDescent="0.2">
      <c r="B63" s="151"/>
      <c r="C63" s="216"/>
      <c r="D63" s="158"/>
      <c r="E63" s="66" t="s">
        <v>5</v>
      </c>
      <c r="F63" s="21">
        <f>SUM(G63:L63)</f>
        <v>47894.3</v>
      </c>
      <c r="G63" s="21">
        <f t="shared" ref="G63:L66" si="59">G18+G48</f>
        <v>4717.2</v>
      </c>
      <c r="H63" s="21">
        <f t="shared" si="59"/>
        <v>5840</v>
      </c>
      <c r="I63" s="77">
        <f t="shared" si="59"/>
        <v>5129.1000000000004</v>
      </c>
      <c r="J63" s="21">
        <f t="shared" si="59"/>
        <v>9691</v>
      </c>
      <c r="K63" s="21">
        <f t="shared" si="59"/>
        <v>11903</v>
      </c>
      <c r="L63" s="21">
        <f t="shared" si="59"/>
        <v>10614</v>
      </c>
    </row>
    <row r="64" spans="2:17" s="40" customFormat="1" ht="16.5" customHeight="1" x14ac:dyDescent="0.2">
      <c r="B64" s="151"/>
      <c r="C64" s="216"/>
      <c r="D64" s="158"/>
      <c r="E64" s="66" t="s">
        <v>3</v>
      </c>
      <c r="F64" s="21">
        <f>SUM(G64:L64)</f>
        <v>0</v>
      </c>
      <c r="G64" s="21">
        <f t="shared" si="59"/>
        <v>0</v>
      </c>
      <c r="H64" s="21">
        <f t="shared" si="59"/>
        <v>0</v>
      </c>
      <c r="I64" s="77">
        <f t="shared" si="59"/>
        <v>0</v>
      </c>
      <c r="J64" s="21">
        <f t="shared" si="59"/>
        <v>0</v>
      </c>
      <c r="K64" s="21">
        <f t="shared" si="59"/>
        <v>0</v>
      </c>
      <c r="L64" s="21">
        <f t="shared" si="59"/>
        <v>0</v>
      </c>
    </row>
    <row r="65" spans="2:13" s="40" customFormat="1" ht="16.5" customHeight="1" x14ac:dyDescent="0.2">
      <c r="B65" s="151"/>
      <c r="C65" s="216"/>
      <c r="D65" s="158"/>
      <c r="E65" s="66" t="s">
        <v>4</v>
      </c>
      <c r="F65" s="21">
        <f>SUM(G65:L65)</f>
        <v>0</v>
      </c>
      <c r="G65" s="21">
        <f t="shared" si="59"/>
        <v>0</v>
      </c>
      <c r="H65" s="21">
        <f t="shared" si="59"/>
        <v>0</v>
      </c>
      <c r="I65" s="77">
        <f t="shared" si="59"/>
        <v>0</v>
      </c>
      <c r="J65" s="21">
        <f t="shared" si="59"/>
        <v>0</v>
      </c>
      <c r="K65" s="21">
        <f t="shared" si="59"/>
        <v>0</v>
      </c>
      <c r="L65" s="21">
        <f t="shared" si="59"/>
        <v>0</v>
      </c>
    </row>
    <row r="66" spans="2:13" s="40" customFormat="1" ht="16.5" customHeight="1" x14ac:dyDescent="0.2">
      <c r="B66" s="152"/>
      <c r="C66" s="217"/>
      <c r="D66" s="134"/>
      <c r="E66" s="66" t="s">
        <v>6</v>
      </c>
      <c r="F66" s="21">
        <f>SUM(G66:L66)</f>
        <v>2118.9</v>
      </c>
      <c r="G66" s="21">
        <f t="shared" si="59"/>
        <v>0</v>
      </c>
      <c r="H66" s="21">
        <f t="shared" si="59"/>
        <v>2000</v>
      </c>
      <c r="I66" s="77">
        <f t="shared" si="59"/>
        <v>118.9</v>
      </c>
      <c r="J66" s="21">
        <f t="shared" si="59"/>
        <v>0</v>
      </c>
      <c r="K66" s="21">
        <f t="shared" si="59"/>
        <v>0</v>
      </c>
      <c r="L66" s="21">
        <f t="shared" si="59"/>
        <v>0</v>
      </c>
    </row>
    <row r="67" spans="2:13" s="40" customFormat="1" ht="16.5" customHeight="1" x14ac:dyDescent="0.25">
      <c r="B67" s="67"/>
      <c r="C67" s="68"/>
      <c r="D67" s="69"/>
      <c r="E67" s="70"/>
      <c r="F67" s="71"/>
      <c r="G67" s="71"/>
      <c r="H67" s="71"/>
      <c r="I67" s="71"/>
      <c r="J67" s="71"/>
      <c r="K67" s="71"/>
      <c r="L67" s="71"/>
      <c r="M67" s="1" t="s">
        <v>122</v>
      </c>
    </row>
    <row r="68" spans="2:13" s="40" customFormat="1" ht="16.5" customHeight="1" x14ac:dyDescent="0.2">
      <c r="B68" s="67"/>
      <c r="C68" s="68"/>
      <c r="D68" s="69"/>
      <c r="E68" s="70"/>
      <c r="F68" s="71"/>
      <c r="G68" s="71"/>
      <c r="H68" s="71"/>
      <c r="I68" s="71"/>
      <c r="J68" s="71"/>
      <c r="K68" s="71"/>
      <c r="L68" s="71"/>
    </row>
    <row r="69" spans="2:13" s="1" customFormat="1" ht="16.5" customHeight="1" x14ac:dyDescent="0.25">
      <c r="B69" s="67"/>
      <c r="C69" s="72"/>
      <c r="D69" s="69"/>
      <c r="E69" s="73"/>
      <c r="F69" s="74"/>
      <c r="G69" s="74"/>
      <c r="H69" s="74"/>
      <c r="I69" s="74"/>
      <c r="J69" s="74"/>
      <c r="K69" s="74"/>
      <c r="L69" s="74"/>
    </row>
    <row r="70" spans="2:13" s="1" customFormat="1" ht="16.5" customHeight="1" x14ac:dyDescent="0.25">
      <c r="B70" s="67"/>
      <c r="C70" s="72"/>
      <c r="D70" s="69"/>
      <c r="E70" s="73"/>
      <c r="F70" s="74"/>
      <c r="G70" s="74"/>
      <c r="H70" s="74"/>
      <c r="I70" s="74"/>
      <c r="J70" s="74"/>
      <c r="K70" s="74"/>
      <c r="L70" s="74"/>
    </row>
    <row r="71" spans="2:13" s="1" customFormat="1" ht="16.5" customHeight="1" x14ac:dyDescent="0.25">
      <c r="B71" s="67"/>
      <c r="C71" s="72"/>
      <c r="D71" s="69"/>
      <c r="E71" s="73"/>
      <c r="F71" s="74"/>
      <c r="G71" s="74"/>
      <c r="H71" s="74"/>
      <c r="I71" s="74"/>
      <c r="J71" s="74"/>
      <c r="K71" s="74"/>
      <c r="L71" s="74"/>
    </row>
    <row r="72" spans="2:13" s="1" customFormat="1" ht="16.5" customHeight="1" x14ac:dyDescent="0.25">
      <c r="B72" s="67"/>
      <c r="C72" s="72"/>
      <c r="D72" s="69"/>
      <c r="E72" s="73"/>
      <c r="F72" s="74"/>
      <c r="G72" s="74"/>
      <c r="H72" s="74"/>
      <c r="I72" s="74"/>
      <c r="J72" s="74"/>
      <c r="K72" s="74"/>
      <c r="L72" s="74"/>
    </row>
    <row r="73" spans="2:13" s="1" customFormat="1" ht="16.5" customHeight="1" x14ac:dyDescent="0.25">
      <c r="B73" s="67"/>
      <c r="C73" s="72"/>
      <c r="D73" s="69"/>
      <c r="E73" s="73"/>
      <c r="F73" s="74"/>
      <c r="G73" s="74"/>
      <c r="H73" s="74"/>
      <c r="I73" s="74"/>
      <c r="J73" s="74"/>
      <c r="K73" s="74"/>
      <c r="L73" s="74"/>
    </row>
    <row r="74" spans="2:13" s="1" customFormat="1" ht="16.5" customHeight="1" x14ac:dyDescent="0.25">
      <c r="B74" s="67"/>
      <c r="C74" s="72"/>
      <c r="D74" s="69"/>
      <c r="E74" s="73"/>
      <c r="F74" s="74"/>
      <c r="G74" s="74"/>
      <c r="H74" s="74"/>
      <c r="I74" s="74"/>
      <c r="J74" s="74"/>
      <c r="K74" s="74"/>
      <c r="L74" s="74"/>
    </row>
    <row r="75" spans="2:13" s="1" customFormat="1" ht="16.5" customHeight="1" x14ac:dyDescent="0.25">
      <c r="B75" s="67"/>
      <c r="C75" s="72"/>
      <c r="D75" s="69"/>
      <c r="E75" s="73"/>
      <c r="F75" s="74"/>
      <c r="G75" s="74"/>
      <c r="H75" s="74"/>
      <c r="I75" s="74"/>
      <c r="J75" s="74"/>
      <c r="K75" s="74"/>
      <c r="L75" s="74"/>
    </row>
    <row r="76" spans="2:13" s="1" customFormat="1" ht="16.5" customHeight="1" x14ac:dyDescent="0.25">
      <c r="B76" s="67"/>
      <c r="C76" s="72"/>
      <c r="D76" s="69"/>
      <c r="E76" s="73"/>
      <c r="F76" s="74"/>
      <c r="G76" s="74"/>
      <c r="H76" s="74"/>
      <c r="I76" s="74"/>
      <c r="J76" s="74"/>
      <c r="K76" s="74"/>
      <c r="L76" s="74"/>
    </row>
    <row r="77" spans="2:13" s="1" customFormat="1" ht="10.5" customHeight="1" x14ac:dyDescent="0.25">
      <c r="F77" s="58"/>
      <c r="G77" s="59"/>
      <c r="H77" s="59"/>
      <c r="I77" s="59"/>
      <c r="J77" s="59"/>
      <c r="K77" s="59"/>
      <c r="L77" s="59"/>
    </row>
    <row r="78" spans="2:13" ht="18.75" customHeight="1" x14ac:dyDescent="0.2"/>
    <row r="79" spans="2:13" ht="18.75" customHeight="1" x14ac:dyDescent="0.2"/>
    <row r="80" spans="2:13" ht="18.75" customHeight="1" x14ac:dyDescent="0.2"/>
    <row r="81" ht="18.75" customHeight="1" x14ac:dyDescent="0.2"/>
    <row r="82" ht="18.75" customHeight="1" x14ac:dyDescent="0.2"/>
    <row r="83" ht="18.75" customHeight="1" x14ac:dyDescent="0.2"/>
  </sheetData>
  <mergeCells count="39">
    <mergeCell ref="B10:L10"/>
    <mergeCell ref="B11:L11"/>
    <mergeCell ref="B32:B36"/>
    <mergeCell ref="C32:C36"/>
    <mergeCell ref="D32:D36"/>
    <mergeCell ref="B13:B14"/>
    <mergeCell ref="C13:C14"/>
    <mergeCell ref="D13:D14"/>
    <mergeCell ref="E13:E14"/>
    <mergeCell ref="F13:F14"/>
    <mergeCell ref="G13:L13"/>
    <mergeCell ref="C16:L16"/>
    <mergeCell ref="B17:B21"/>
    <mergeCell ref="B27:B31"/>
    <mergeCell ref="C27:C31"/>
    <mergeCell ref="D27:D31"/>
    <mergeCell ref="C17:C21"/>
    <mergeCell ref="D17:D21"/>
    <mergeCell ref="B22:B26"/>
    <mergeCell ref="C22:C26"/>
    <mergeCell ref="D22:D26"/>
    <mergeCell ref="C37:C41"/>
    <mergeCell ref="D37:D41"/>
    <mergeCell ref="B42:B46"/>
    <mergeCell ref="C42:C46"/>
    <mergeCell ref="D42:D46"/>
    <mergeCell ref="B37:B41"/>
    <mergeCell ref="B47:B51"/>
    <mergeCell ref="C47:C51"/>
    <mergeCell ref="D47:D51"/>
    <mergeCell ref="B52:B56"/>
    <mergeCell ref="C52:C56"/>
    <mergeCell ref="D52:D56"/>
    <mergeCell ref="B62:B66"/>
    <mergeCell ref="C62:C66"/>
    <mergeCell ref="D62:D66"/>
    <mergeCell ref="B57:B61"/>
    <mergeCell ref="C57:C61"/>
    <mergeCell ref="D57:D61"/>
  </mergeCells>
  <pageMargins left="1.3779527559055118" right="0.39370078740157483" top="0.78740157480314965" bottom="0.39370078740157483" header="0.19685039370078741" footer="0.15748031496062992"/>
  <pageSetup paperSize="9" scale="50" fitToHeight="2" orientation="portrait" r:id="rId1"/>
  <headerFooter alignWithMargins="0"/>
  <rowBreaks count="1" manualBreakCount="1">
    <brk id="6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O81"/>
  <sheetViews>
    <sheetView view="pageBreakPreview" zoomScaleNormal="75" zoomScaleSheetLayoutView="100" workbookViewId="0">
      <pane xSplit="2" ySplit="16" topLeftCell="C38" activePane="bottomRight" state="frozen"/>
      <selection activeCell="G89" sqref="G89"/>
      <selection pane="topRight" activeCell="G89" sqref="G89"/>
      <selection pane="bottomLeft" activeCell="G89" sqref="G89"/>
      <selection pane="bottomRight" activeCell="E14" sqref="E14:E15"/>
    </sheetView>
  </sheetViews>
  <sheetFormatPr defaultRowHeight="12.75" x14ac:dyDescent="0.2"/>
  <cols>
    <col min="1" max="1" width="2.85546875" style="2" customWidth="1"/>
    <col min="2" max="2" width="6.5703125" style="2" customWidth="1"/>
    <col min="3" max="3" width="32.5703125" style="2" customWidth="1"/>
    <col min="4" max="4" width="18.140625" style="2" customWidth="1"/>
    <col min="5" max="5" width="19.5703125" style="2" customWidth="1"/>
    <col min="6" max="6" width="11" style="27" customWidth="1"/>
    <col min="7" max="8" width="9.5703125" style="2" customWidth="1"/>
    <col min="9" max="9" width="9.85546875" style="2" customWidth="1"/>
    <col min="10" max="12" width="10" style="2" customWidth="1"/>
    <col min="13" max="13" width="3.140625" style="2" customWidth="1"/>
    <col min="14" max="14" width="11.28515625" style="2" customWidth="1"/>
    <col min="15" max="16384" width="9.140625" style="2"/>
  </cols>
  <sheetData>
    <row r="1" spans="1:15" ht="15.75" x14ac:dyDescent="0.25">
      <c r="F1" s="2"/>
      <c r="G1" s="1" t="s">
        <v>203</v>
      </c>
    </row>
    <row r="2" spans="1:15" ht="15.75" x14ac:dyDescent="0.25">
      <c r="F2" s="2"/>
      <c r="G2" s="1" t="s">
        <v>120</v>
      </c>
    </row>
    <row r="3" spans="1:15" ht="15.75" x14ac:dyDescent="0.25">
      <c r="F3" s="2"/>
      <c r="G3" s="1" t="str">
        <f>+Свод!G3</f>
        <v>№ 587 от 12.08.2022 г.</v>
      </c>
    </row>
    <row r="4" spans="1:15" x14ac:dyDescent="0.2">
      <c r="F4" s="2"/>
    </row>
    <row r="5" spans="1:15" s="1" customFormat="1" ht="15.75" x14ac:dyDescent="0.25">
      <c r="G5" s="1" t="s">
        <v>119</v>
      </c>
    </row>
    <row r="6" spans="1:15" s="1" customFormat="1" ht="15.75" x14ac:dyDescent="0.25">
      <c r="G6" s="1" t="s">
        <v>108</v>
      </c>
      <c r="N6" s="226"/>
      <c r="O6" s="226"/>
    </row>
    <row r="7" spans="1:15" s="1" customFormat="1" ht="15.75" x14ac:dyDescent="0.25">
      <c r="G7" s="1" t="s">
        <v>137</v>
      </c>
    </row>
    <row r="8" spans="1:15" s="1" customFormat="1" ht="15.75" x14ac:dyDescent="0.25">
      <c r="G8" s="1" t="s">
        <v>134</v>
      </c>
    </row>
    <row r="9" spans="1:15" s="1" customFormat="1" ht="15.75" x14ac:dyDescent="0.25">
      <c r="G9" s="10"/>
    </row>
    <row r="10" spans="1:15" s="1" customFormat="1" ht="31.5" customHeight="1" x14ac:dyDescent="0.25">
      <c r="B10" s="159" t="s">
        <v>138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5" s="1" customFormat="1" ht="15.75" x14ac:dyDescent="0.25">
      <c r="B11" s="160" t="s">
        <v>131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3" spans="1:15" ht="12.75" customHeight="1" x14ac:dyDescent="0.25">
      <c r="A13" s="1" t="s">
        <v>121</v>
      </c>
    </row>
    <row r="14" spans="1:15" ht="15.75" x14ac:dyDescent="0.2">
      <c r="B14" s="133" t="s">
        <v>30</v>
      </c>
      <c r="C14" s="132" t="s">
        <v>31</v>
      </c>
      <c r="D14" s="132" t="s">
        <v>32</v>
      </c>
      <c r="E14" s="132" t="s">
        <v>33</v>
      </c>
      <c r="F14" s="132" t="s">
        <v>34</v>
      </c>
      <c r="G14" s="227" t="s">
        <v>35</v>
      </c>
      <c r="H14" s="227"/>
      <c r="I14" s="227"/>
      <c r="J14" s="227"/>
      <c r="K14" s="227"/>
      <c r="L14" s="227"/>
    </row>
    <row r="15" spans="1:15" ht="60.75" customHeight="1" x14ac:dyDescent="0.2">
      <c r="B15" s="134"/>
      <c r="C15" s="132"/>
      <c r="D15" s="132"/>
      <c r="E15" s="132"/>
      <c r="F15" s="132"/>
      <c r="G15" s="103" t="s">
        <v>38</v>
      </c>
      <c r="H15" s="103" t="s">
        <v>43</v>
      </c>
      <c r="I15" s="103" t="s">
        <v>39</v>
      </c>
      <c r="J15" s="103" t="s">
        <v>150</v>
      </c>
      <c r="K15" s="103" t="s">
        <v>152</v>
      </c>
      <c r="L15" s="103" t="s">
        <v>151</v>
      </c>
    </row>
    <row r="16" spans="1:15" ht="10.5" customHeight="1" x14ac:dyDescent="0.2">
      <c r="B16" s="75">
        <v>1</v>
      </c>
      <c r="C16" s="75">
        <v>2</v>
      </c>
      <c r="D16" s="75">
        <v>3</v>
      </c>
      <c r="E16" s="75">
        <v>4</v>
      </c>
      <c r="F16" s="75">
        <v>5</v>
      </c>
      <c r="G16" s="75">
        <v>6</v>
      </c>
      <c r="H16" s="75">
        <v>7</v>
      </c>
      <c r="I16" s="75">
        <v>8</v>
      </c>
      <c r="J16" s="75">
        <v>9</v>
      </c>
      <c r="K16" s="75">
        <v>10</v>
      </c>
      <c r="L16" s="75">
        <v>11</v>
      </c>
    </row>
    <row r="17" spans="2:12" ht="18.75" customHeight="1" x14ac:dyDescent="0.25">
      <c r="B17" s="106"/>
      <c r="C17" s="229" t="s">
        <v>78</v>
      </c>
      <c r="D17" s="229"/>
      <c r="E17" s="229"/>
      <c r="F17" s="229"/>
      <c r="G17" s="229"/>
      <c r="H17" s="229"/>
      <c r="I17" s="229"/>
      <c r="J17" s="229"/>
      <c r="K17" s="229"/>
      <c r="L17" s="229"/>
    </row>
    <row r="18" spans="2:12" ht="25.5" customHeight="1" x14ac:dyDescent="0.25">
      <c r="B18" s="129" t="s">
        <v>0</v>
      </c>
      <c r="C18" s="138" t="s">
        <v>160</v>
      </c>
      <c r="D18" s="132" t="s">
        <v>1</v>
      </c>
      <c r="E18" s="48" t="s">
        <v>2</v>
      </c>
      <c r="F18" s="49">
        <f t="shared" ref="F18:F47" si="0">SUM(G18:L18)</f>
        <v>67578.5</v>
      </c>
      <c r="G18" s="49">
        <f t="shared" ref="G18:L18" si="1">SUM(G19:G22)</f>
        <v>9267</v>
      </c>
      <c r="H18" s="49">
        <f t="shared" si="1"/>
        <v>11017</v>
      </c>
      <c r="I18" s="49">
        <f t="shared" si="1"/>
        <v>12591</v>
      </c>
      <c r="J18" s="49">
        <f t="shared" si="1"/>
        <v>13076.5</v>
      </c>
      <c r="K18" s="49">
        <f t="shared" si="1"/>
        <v>11290</v>
      </c>
      <c r="L18" s="49">
        <f t="shared" si="1"/>
        <v>10337</v>
      </c>
    </row>
    <row r="19" spans="2:12" ht="25.5" customHeight="1" x14ac:dyDescent="0.25">
      <c r="B19" s="129"/>
      <c r="C19" s="138"/>
      <c r="D19" s="132"/>
      <c r="E19" s="48" t="s">
        <v>5</v>
      </c>
      <c r="F19" s="49">
        <f>SUM(G19:L19)</f>
        <v>51647.1</v>
      </c>
      <c r="G19" s="51">
        <f t="shared" ref="G19:L22" si="2">G24+G29</f>
        <v>7692.4</v>
      </c>
      <c r="H19" s="51">
        <f t="shared" si="2"/>
        <v>8714.9</v>
      </c>
      <c r="I19" s="51">
        <f t="shared" si="2"/>
        <v>8529.2999999999993</v>
      </c>
      <c r="J19" s="51">
        <f t="shared" si="2"/>
        <v>10042.5</v>
      </c>
      <c r="K19" s="51">
        <f t="shared" si="2"/>
        <v>8256</v>
      </c>
      <c r="L19" s="51">
        <f t="shared" si="2"/>
        <v>8412</v>
      </c>
    </row>
    <row r="20" spans="2:12" ht="25.5" customHeight="1" x14ac:dyDescent="0.25">
      <c r="B20" s="129"/>
      <c r="C20" s="131"/>
      <c r="D20" s="132"/>
      <c r="E20" s="50" t="s">
        <v>3</v>
      </c>
      <c r="F20" s="49">
        <f t="shared" si="0"/>
        <v>15931.4</v>
      </c>
      <c r="G20" s="51">
        <f t="shared" si="2"/>
        <v>1574.6</v>
      </c>
      <c r="H20" s="51">
        <f t="shared" si="2"/>
        <v>2302.1</v>
      </c>
      <c r="I20" s="51">
        <f t="shared" si="2"/>
        <v>4061.7</v>
      </c>
      <c r="J20" s="51">
        <f t="shared" si="2"/>
        <v>3034</v>
      </c>
      <c r="K20" s="51">
        <f t="shared" si="2"/>
        <v>3034</v>
      </c>
      <c r="L20" s="51">
        <f t="shared" si="2"/>
        <v>1925</v>
      </c>
    </row>
    <row r="21" spans="2:12" ht="25.5" customHeight="1" x14ac:dyDescent="0.25">
      <c r="B21" s="129"/>
      <c r="C21" s="131"/>
      <c r="D21" s="132"/>
      <c r="E21" s="50" t="s">
        <v>4</v>
      </c>
      <c r="F21" s="49">
        <f t="shared" si="0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</row>
    <row r="22" spans="2:12" ht="25.5" customHeight="1" x14ac:dyDescent="0.25">
      <c r="B22" s="129"/>
      <c r="C22" s="131"/>
      <c r="D22" s="132"/>
      <c r="E22" s="50" t="s">
        <v>6</v>
      </c>
      <c r="F22" s="49">
        <f t="shared" si="0"/>
        <v>0</v>
      </c>
      <c r="G22" s="51">
        <f t="shared" si="2"/>
        <v>0</v>
      </c>
      <c r="H22" s="51">
        <f t="shared" si="2"/>
        <v>0</v>
      </c>
      <c r="I22" s="51">
        <f t="shared" si="2"/>
        <v>0</v>
      </c>
      <c r="J22" s="51">
        <f t="shared" si="2"/>
        <v>0</v>
      </c>
      <c r="K22" s="51">
        <f t="shared" si="2"/>
        <v>0</v>
      </c>
      <c r="L22" s="51">
        <f t="shared" si="2"/>
        <v>0</v>
      </c>
    </row>
    <row r="23" spans="2:12" ht="42" customHeight="1" x14ac:dyDescent="0.25">
      <c r="B23" s="177" t="s">
        <v>18</v>
      </c>
      <c r="C23" s="131" t="s">
        <v>79</v>
      </c>
      <c r="D23" s="132" t="s">
        <v>1</v>
      </c>
      <c r="E23" s="48" t="s">
        <v>2</v>
      </c>
      <c r="F23" s="56">
        <f t="shared" si="0"/>
        <v>9665.2000000000007</v>
      </c>
      <c r="G23" s="49">
        <f t="shared" ref="G23:L23" si="3">SUM(G24:G27)</f>
        <v>1021.7</v>
      </c>
      <c r="H23" s="49">
        <f t="shared" si="3"/>
        <v>1462</v>
      </c>
      <c r="I23" s="49">
        <f t="shared" si="3"/>
        <v>2317</v>
      </c>
      <c r="J23" s="49">
        <f t="shared" si="3"/>
        <v>2447.5</v>
      </c>
      <c r="K23" s="49">
        <f t="shared" si="3"/>
        <v>1149</v>
      </c>
      <c r="L23" s="49">
        <f t="shared" si="3"/>
        <v>1268</v>
      </c>
    </row>
    <row r="24" spans="2:12" ht="42" customHeight="1" x14ac:dyDescent="0.25">
      <c r="B24" s="177"/>
      <c r="C24" s="131"/>
      <c r="D24" s="132"/>
      <c r="E24" s="50" t="s">
        <v>5</v>
      </c>
      <c r="F24" s="56">
        <f>SUM(G24:L24)</f>
        <v>9665.2000000000007</v>
      </c>
      <c r="G24" s="51">
        <v>1021.7</v>
      </c>
      <c r="H24" s="51">
        <f>1440+22</f>
        <v>1462</v>
      </c>
      <c r="I24" s="51">
        <f>2522-205</f>
        <v>2317</v>
      </c>
      <c r="J24" s="51">
        <f>2617.5-170</f>
        <v>2447.5</v>
      </c>
      <c r="K24" s="51">
        <f>1179-30</f>
        <v>1149</v>
      </c>
      <c r="L24" s="51">
        <f>1335-67</f>
        <v>1268</v>
      </c>
    </row>
    <row r="25" spans="2:12" ht="42" customHeight="1" x14ac:dyDescent="0.25">
      <c r="B25" s="177"/>
      <c r="C25" s="131"/>
      <c r="D25" s="132"/>
      <c r="E25" s="50" t="s">
        <v>3</v>
      </c>
      <c r="F25" s="56">
        <f t="shared" si="0"/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</row>
    <row r="26" spans="2:12" ht="42" customHeight="1" x14ac:dyDescent="0.25">
      <c r="B26" s="177"/>
      <c r="C26" s="131"/>
      <c r="D26" s="132"/>
      <c r="E26" s="50" t="s">
        <v>4</v>
      </c>
      <c r="F26" s="56">
        <f t="shared" si="0"/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</row>
    <row r="27" spans="2:12" ht="42" customHeight="1" x14ac:dyDescent="0.25">
      <c r="B27" s="177"/>
      <c r="C27" s="131"/>
      <c r="D27" s="132"/>
      <c r="E27" s="50" t="s">
        <v>6</v>
      </c>
      <c r="F27" s="56">
        <f t="shared" si="0"/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</row>
    <row r="28" spans="2:12" ht="29.25" customHeight="1" x14ac:dyDescent="0.25">
      <c r="B28" s="177" t="s">
        <v>50</v>
      </c>
      <c r="C28" s="131" t="s">
        <v>106</v>
      </c>
      <c r="D28" s="132" t="s">
        <v>1</v>
      </c>
      <c r="E28" s="48" t="s">
        <v>2</v>
      </c>
      <c r="F28" s="56">
        <f t="shared" si="0"/>
        <v>57913.3</v>
      </c>
      <c r="G28" s="49">
        <f t="shared" ref="G28:L28" si="4">SUM(G29:G32)</f>
        <v>8245.2999999999993</v>
      </c>
      <c r="H28" s="49">
        <f t="shared" si="4"/>
        <v>9555</v>
      </c>
      <c r="I28" s="49">
        <f t="shared" si="4"/>
        <v>10274</v>
      </c>
      <c r="J28" s="49">
        <f t="shared" si="4"/>
        <v>10629</v>
      </c>
      <c r="K28" s="49">
        <f t="shared" si="4"/>
        <v>10141</v>
      </c>
      <c r="L28" s="49">
        <f t="shared" si="4"/>
        <v>9069</v>
      </c>
    </row>
    <row r="29" spans="2:12" ht="29.25" customHeight="1" x14ac:dyDescent="0.25">
      <c r="B29" s="177"/>
      <c r="C29" s="131"/>
      <c r="D29" s="132"/>
      <c r="E29" s="48" t="s">
        <v>5</v>
      </c>
      <c r="F29" s="56">
        <f>SUM(G29:L29)</f>
        <v>41981.899999999994</v>
      </c>
      <c r="G29" s="51">
        <v>6670.7</v>
      </c>
      <c r="H29" s="51">
        <f>7173.9+79</f>
        <v>7252.9</v>
      </c>
      <c r="I29" s="51">
        <f>6007.3+205</f>
        <v>6212.3</v>
      </c>
      <c r="J29" s="51">
        <f>7425+170</f>
        <v>7595</v>
      </c>
      <c r="K29" s="51">
        <f>7077+30</f>
        <v>7107</v>
      </c>
      <c r="L29" s="51">
        <f>7077+67</f>
        <v>7144</v>
      </c>
    </row>
    <row r="30" spans="2:12" ht="29.25" customHeight="1" x14ac:dyDescent="0.25">
      <c r="B30" s="177"/>
      <c r="C30" s="131"/>
      <c r="D30" s="132"/>
      <c r="E30" s="50" t="s">
        <v>3</v>
      </c>
      <c r="F30" s="56">
        <f t="shared" si="0"/>
        <v>15931.4</v>
      </c>
      <c r="G30" s="51">
        <v>1574.6</v>
      </c>
      <c r="H30" s="51">
        <v>2302.1</v>
      </c>
      <c r="I30" s="51">
        <v>4061.7</v>
      </c>
      <c r="J30" s="51">
        <v>3034</v>
      </c>
      <c r="K30" s="51">
        <v>3034</v>
      </c>
      <c r="L30" s="51">
        <v>1925</v>
      </c>
    </row>
    <row r="31" spans="2:12" ht="29.25" customHeight="1" x14ac:dyDescent="0.25">
      <c r="B31" s="177"/>
      <c r="C31" s="131"/>
      <c r="D31" s="132"/>
      <c r="E31" s="50" t="s">
        <v>4</v>
      </c>
      <c r="F31" s="56">
        <f t="shared" si="0"/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</row>
    <row r="32" spans="2:12" ht="29.25" customHeight="1" x14ac:dyDescent="0.25">
      <c r="B32" s="177"/>
      <c r="C32" s="131"/>
      <c r="D32" s="132"/>
      <c r="E32" s="50" t="s">
        <v>6</v>
      </c>
      <c r="F32" s="56">
        <f t="shared" si="0"/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</row>
    <row r="33" spans="2:13" ht="15.75" customHeight="1" x14ac:dyDescent="0.25">
      <c r="B33" s="141" t="s">
        <v>7</v>
      </c>
      <c r="C33" s="138" t="s">
        <v>80</v>
      </c>
      <c r="D33" s="132" t="s">
        <v>1</v>
      </c>
      <c r="E33" s="48" t="s">
        <v>2</v>
      </c>
      <c r="F33" s="56">
        <f>SUM(G33:L33)</f>
        <v>202</v>
      </c>
      <c r="G33" s="49">
        <f t="shared" ref="G33:L33" si="5">SUM(G34:G37)</f>
        <v>1</v>
      </c>
      <c r="H33" s="49">
        <f t="shared" si="5"/>
        <v>25</v>
      </c>
      <c r="I33" s="49">
        <f t="shared" si="5"/>
        <v>0</v>
      </c>
      <c r="J33" s="49">
        <f t="shared" si="5"/>
        <v>110</v>
      </c>
      <c r="K33" s="49">
        <f t="shared" si="5"/>
        <v>33</v>
      </c>
      <c r="L33" s="49">
        <f t="shared" si="5"/>
        <v>33</v>
      </c>
    </row>
    <row r="34" spans="2:13" ht="15.75" x14ac:dyDescent="0.25">
      <c r="B34" s="141"/>
      <c r="C34" s="138"/>
      <c r="D34" s="132"/>
      <c r="E34" s="48" t="s">
        <v>5</v>
      </c>
      <c r="F34" s="56">
        <f>SUM(G34:L34)</f>
        <v>202</v>
      </c>
      <c r="G34" s="51">
        <v>1</v>
      </c>
      <c r="H34" s="51">
        <v>25</v>
      </c>
      <c r="I34" s="51">
        <v>0</v>
      </c>
      <c r="J34" s="51">
        <v>110</v>
      </c>
      <c r="K34" s="51">
        <v>33</v>
      </c>
      <c r="L34" s="51">
        <v>33</v>
      </c>
    </row>
    <row r="35" spans="2:13" ht="15.75" x14ac:dyDescent="0.25">
      <c r="B35" s="129"/>
      <c r="C35" s="138"/>
      <c r="D35" s="132"/>
      <c r="E35" s="50" t="s">
        <v>3</v>
      </c>
      <c r="F35" s="56">
        <f>SUM(G35:L35)</f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</row>
    <row r="36" spans="2:13" ht="15.75" x14ac:dyDescent="0.25">
      <c r="B36" s="129"/>
      <c r="C36" s="138"/>
      <c r="D36" s="132"/>
      <c r="E36" s="50" t="s">
        <v>4</v>
      </c>
      <c r="F36" s="56">
        <f>SUM(G36:L36)</f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</row>
    <row r="37" spans="2:13" ht="15.75" x14ac:dyDescent="0.25">
      <c r="B37" s="129"/>
      <c r="C37" s="138"/>
      <c r="D37" s="132"/>
      <c r="E37" s="50" t="s">
        <v>6</v>
      </c>
      <c r="F37" s="56">
        <f>SUM(G37:L37)</f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</row>
    <row r="38" spans="2:13" ht="15.75" x14ac:dyDescent="0.25">
      <c r="B38" s="141" t="s">
        <v>8</v>
      </c>
      <c r="C38" s="138" t="s">
        <v>81</v>
      </c>
      <c r="D38" s="132" t="s">
        <v>1</v>
      </c>
      <c r="E38" s="48" t="s">
        <v>2</v>
      </c>
      <c r="F38" s="56">
        <f t="shared" si="0"/>
        <v>1739</v>
      </c>
      <c r="G38" s="49">
        <f t="shared" ref="G38:L38" si="6">SUM(G39:G42)</f>
        <v>93</v>
      </c>
      <c r="H38" s="49">
        <f t="shared" si="6"/>
        <v>140</v>
      </c>
      <c r="I38" s="49">
        <f t="shared" si="6"/>
        <v>92</v>
      </c>
      <c r="J38" s="49">
        <f t="shared" si="6"/>
        <v>904</v>
      </c>
      <c r="K38" s="49">
        <f t="shared" si="6"/>
        <v>250</v>
      </c>
      <c r="L38" s="49">
        <f t="shared" si="6"/>
        <v>260</v>
      </c>
    </row>
    <row r="39" spans="2:13" ht="15.75" x14ac:dyDescent="0.25">
      <c r="B39" s="141"/>
      <c r="C39" s="138"/>
      <c r="D39" s="132"/>
      <c r="E39" s="48" t="s">
        <v>5</v>
      </c>
      <c r="F39" s="56">
        <f>SUM(G39:L39)</f>
        <v>1739</v>
      </c>
      <c r="G39" s="51">
        <v>93</v>
      </c>
      <c r="H39" s="51">
        <v>140</v>
      </c>
      <c r="I39" s="51">
        <v>92</v>
      </c>
      <c r="J39" s="51">
        <f>63+841</f>
        <v>904</v>
      </c>
      <c r="K39" s="51">
        <f>53+197</f>
        <v>250</v>
      </c>
      <c r="L39" s="51">
        <f>55+205</f>
        <v>260</v>
      </c>
    </row>
    <row r="40" spans="2:13" ht="15.75" x14ac:dyDescent="0.25">
      <c r="B40" s="129"/>
      <c r="C40" s="138"/>
      <c r="D40" s="132"/>
      <c r="E40" s="50" t="s">
        <v>3</v>
      </c>
      <c r="F40" s="56">
        <f t="shared" si="0"/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</row>
    <row r="41" spans="2:13" ht="15.75" x14ac:dyDescent="0.25">
      <c r="B41" s="129"/>
      <c r="C41" s="138"/>
      <c r="D41" s="132"/>
      <c r="E41" s="50" t="s">
        <v>4</v>
      </c>
      <c r="F41" s="56">
        <f t="shared" si="0"/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</row>
    <row r="42" spans="2:13" ht="15.75" x14ac:dyDescent="0.25">
      <c r="B42" s="129"/>
      <c r="C42" s="138"/>
      <c r="D42" s="132"/>
      <c r="E42" s="50" t="s">
        <v>6</v>
      </c>
      <c r="F42" s="56">
        <f t="shared" si="0"/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</row>
    <row r="43" spans="2:13" ht="15.75" customHeight="1" x14ac:dyDescent="0.25">
      <c r="B43" s="129"/>
      <c r="C43" s="228"/>
      <c r="D43" s="132" t="s">
        <v>1</v>
      </c>
      <c r="E43" s="76" t="s">
        <v>2</v>
      </c>
      <c r="F43" s="56">
        <f t="shared" si="0"/>
        <v>69519.5</v>
      </c>
      <c r="G43" s="49">
        <f t="shared" ref="G43:L43" si="7">SUM(G44:G47)</f>
        <v>9361</v>
      </c>
      <c r="H43" s="49">
        <f t="shared" si="7"/>
        <v>11182</v>
      </c>
      <c r="I43" s="49">
        <f t="shared" si="7"/>
        <v>12683</v>
      </c>
      <c r="J43" s="49">
        <f t="shared" si="7"/>
        <v>14090.5</v>
      </c>
      <c r="K43" s="49">
        <f t="shared" si="7"/>
        <v>11573</v>
      </c>
      <c r="L43" s="49">
        <f t="shared" si="7"/>
        <v>10630</v>
      </c>
    </row>
    <row r="44" spans="2:13" ht="15.75" x14ac:dyDescent="0.25">
      <c r="B44" s="129"/>
      <c r="C44" s="228"/>
      <c r="D44" s="132"/>
      <c r="E44" s="76" t="s">
        <v>5</v>
      </c>
      <c r="F44" s="56">
        <f>SUM(G44:L44)</f>
        <v>53588.1</v>
      </c>
      <c r="G44" s="56">
        <f>+G19+G34+G39</f>
        <v>7786.4</v>
      </c>
      <c r="H44" s="56">
        <f t="shared" ref="H44:L44" si="8">+H19+H34+H39</f>
        <v>8879.9</v>
      </c>
      <c r="I44" s="56">
        <f t="shared" si="8"/>
        <v>8621.2999999999993</v>
      </c>
      <c r="J44" s="56">
        <f t="shared" si="8"/>
        <v>11056.5</v>
      </c>
      <c r="K44" s="56">
        <f t="shared" si="8"/>
        <v>8539</v>
      </c>
      <c r="L44" s="56">
        <f t="shared" si="8"/>
        <v>8705</v>
      </c>
    </row>
    <row r="45" spans="2:13" ht="15.75" x14ac:dyDescent="0.25">
      <c r="B45" s="129"/>
      <c r="C45" s="228"/>
      <c r="D45" s="132"/>
      <c r="E45" s="76" t="s">
        <v>3</v>
      </c>
      <c r="F45" s="56">
        <f t="shared" si="0"/>
        <v>15931.4</v>
      </c>
      <c r="G45" s="56">
        <f t="shared" ref="G45:L47" si="9">+G20+G35+G40</f>
        <v>1574.6</v>
      </c>
      <c r="H45" s="56">
        <f t="shared" si="9"/>
        <v>2302.1</v>
      </c>
      <c r="I45" s="56">
        <f t="shared" si="9"/>
        <v>4061.7</v>
      </c>
      <c r="J45" s="56">
        <f t="shared" si="9"/>
        <v>3034</v>
      </c>
      <c r="K45" s="56">
        <f t="shared" si="9"/>
        <v>3034</v>
      </c>
      <c r="L45" s="56">
        <f t="shared" si="9"/>
        <v>1925</v>
      </c>
    </row>
    <row r="46" spans="2:13" ht="15.75" x14ac:dyDescent="0.25">
      <c r="B46" s="129"/>
      <c r="C46" s="228"/>
      <c r="D46" s="132"/>
      <c r="E46" s="76" t="s">
        <v>4</v>
      </c>
      <c r="F46" s="56">
        <f t="shared" si="0"/>
        <v>0</v>
      </c>
      <c r="G46" s="56">
        <f t="shared" si="9"/>
        <v>0</v>
      </c>
      <c r="H46" s="56">
        <f t="shared" si="9"/>
        <v>0</v>
      </c>
      <c r="I46" s="56">
        <f t="shared" si="9"/>
        <v>0</v>
      </c>
      <c r="J46" s="56">
        <f t="shared" si="9"/>
        <v>0</v>
      </c>
      <c r="K46" s="56">
        <f t="shared" si="9"/>
        <v>0</v>
      </c>
      <c r="L46" s="56">
        <f t="shared" si="9"/>
        <v>0</v>
      </c>
    </row>
    <row r="47" spans="2:13" ht="15.75" x14ac:dyDescent="0.25">
      <c r="B47" s="129"/>
      <c r="C47" s="228"/>
      <c r="D47" s="132"/>
      <c r="E47" s="76" t="s">
        <v>6</v>
      </c>
      <c r="F47" s="56">
        <f t="shared" si="0"/>
        <v>0</v>
      </c>
      <c r="G47" s="56">
        <f t="shared" si="9"/>
        <v>0</v>
      </c>
      <c r="H47" s="56">
        <f t="shared" si="9"/>
        <v>0</v>
      </c>
      <c r="I47" s="56">
        <f t="shared" si="9"/>
        <v>0</v>
      </c>
      <c r="J47" s="56">
        <f t="shared" si="9"/>
        <v>0</v>
      </c>
      <c r="K47" s="56">
        <f t="shared" si="9"/>
        <v>0</v>
      </c>
      <c r="L47" s="56">
        <f t="shared" si="9"/>
        <v>0</v>
      </c>
    </row>
    <row r="48" spans="2:13" ht="18.75" customHeight="1" x14ac:dyDescent="0.25">
      <c r="M48" s="1" t="s">
        <v>122</v>
      </c>
    </row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</sheetData>
  <mergeCells count="28">
    <mergeCell ref="B28:B32"/>
    <mergeCell ref="C28:C32"/>
    <mergeCell ref="D28:D32"/>
    <mergeCell ref="E14:E15"/>
    <mergeCell ref="F14:F15"/>
    <mergeCell ref="B23:B27"/>
    <mergeCell ref="C23:C27"/>
    <mergeCell ref="D23:D27"/>
    <mergeCell ref="C17:L17"/>
    <mergeCell ref="B18:B22"/>
    <mergeCell ref="C18:C22"/>
    <mergeCell ref="D18:D22"/>
    <mergeCell ref="N6:O6"/>
    <mergeCell ref="B10:L10"/>
    <mergeCell ref="B11:L11"/>
    <mergeCell ref="G14:L14"/>
    <mergeCell ref="B43:B47"/>
    <mergeCell ref="C43:C47"/>
    <mergeCell ref="D43:D47"/>
    <mergeCell ref="B14:B15"/>
    <mergeCell ref="C14:C15"/>
    <mergeCell ref="D14:D15"/>
    <mergeCell ref="B33:B37"/>
    <mergeCell ref="C33:C37"/>
    <mergeCell ref="D33:D37"/>
    <mergeCell ref="B38:B42"/>
    <mergeCell ref="C38:C42"/>
    <mergeCell ref="D38:D42"/>
  </mergeCells>
  <pageMargins left="1.3779527559055118" right="0.39370078740157483" top="0.78740157480314965" bottom="0.39370078740157483" header="0.19685039370078741" footer="0.15748031496062992"/>
  <pageSetup paperSize="9" scale="50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91"/>
  <sheetViews>
    <sheetView view="pageBreakPreview" zoomScaleSheetLayoutView="100" workbookViewId="0">
      <pane xSplit="2" ySplit="16" topLeftCell="C48" activePane="bottomRight" state="frozen"/>
      <selection activeCell="D27" sqref="D27:D31"/>
      <selection pane="topRight" activeCell="D27" sqref="D27:D31"/>
      <selection pane="bottomLeft" activeCell="D27" sqref="D27:D31"/>
      <selection pane="bottomRight" activeCell="B10" sqref="B10:L10"/>
    </sheetView>
  </sheetViews>
  <sheetFormatPr defaultRowHeight="12.75" x14ac:dyDescent="0.2"/>
  <cols>
    <col min="1" max="1" width="2.85546875" style="2" customWidth="1"/>
    <col min="2" max="2" width="6.5703125" style="2" customWidth="1"/>
    <col min="3" max="3" width="33" style="2" customWidth="1"/>
    <col min="4" max="4" width="18.140625" style="2" customWidth="1"/>
    <col min="5" max="5" width="19.5703125" style="2" customWidth="1"/>
    <col min="6" max="6" width="11" style="27" customWidth="1"/>
    <col min="7" max="12" width="9.85546875" style="2" customWidth="1"/>
    <col min="13" max="13" width="2.28515625" style="2" customWidth="1"/>
    <col min="14" max="14" width="11.28515625" style="2" customWidth="1"/>
    <col min="15" max="16384" width="9.140625" style="2"/>
  </cols>
  <sheetData>
    <row r="1" spans="1:15" ht="15.75" x14ac:dyDescent="0.25">
      <c r="F1" s="2"/>
      <c r="G1" s="1" t="s">
        <v>123</v>
      </c>
    </row>
    <row r="2" spans="1:15" ht="15.75" x14ac:dyDescent="0.25">
      <c r="F2" s="2"/>
      <c r="G2" s="1" t="s">
        <v>120</v>
      </c>
    </row>
    <row r="3" spans="1:15" ht="15.75" x14ac:dyDescent="0.25">
      <c r="F3" s="2"/>
      <c r="G3" s="1" t="str">
        <f>+Свод!G3</f>
        <v>№ 587 от 12.08.2022 г.</v>
      </c>
    </row>
    <row r="4" spans="1:15" x14ac:dyDescent="0.2">
      <c r="F4" s="2"/>
    </row>
    <row r="5" spans="1:15" s="1" customFormat="1" ht="15.75" x14ac:dyDescent="0.25">
      <c r="G5" s="1" t="s">
        <v>119</v>
      </c>
    </row>
    <row r="6" spans="1:15" s="1" customFormat="1" ht="15.75" x14ac:dyDescent="0.25">
      <c r="G6" s="1" t="s">
        <v>189</v>
      </c>
      <c r="N6" s="226"/>
      <c r="O6" s="226"/>
    </row>
    <row r="7" spans="1:15" s="1" customFormat="1" ht="15.75" x14ac:dyDescent="0.25">
      <c r="G7" s="1" t="s">
        <v>190</v>
      </c>
    </row>
    <row r="8" spans="1:15" s="1" customFormat="1" ht="15.75" x14ac:dyDescent="0.25">
      <c r="G8" s="1" t="s">
        <v>134</v>
      </c>
    </row>
    <row r="9" spans="1:15" s="1" customFormat="1" ht="15.75" x14ac:dyDescent="0.25">
      <c r="G9" s="10"/>
    </row>
    <row r="10" spans="1:15" s="1" customFormat="1" ht="31.5" customHeight="1" x14ac:dyDescent="0.25">
      <c r="B10" s="159" t="s">
        <v>139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5" s="1" customFormat="1" ht="15.75" x14ac:dyDescent="0.25">
      <c r="B11" s="160" t="s">
        <v>131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3" spans="1:15" ht="12.75" customHeight="1" x14ac:dyDescent="0.25">
      <c r="A13" s="1" t="s">
        <v>121</v>
      </c>
    </row>
    <row r="14" spans="1:15" ht="15.75" x14ac:dyDescent="0.2">
      <c r="B14" s="133" t="s">
        <v>30</v>
      </c>
      <c r="C14" s="132" t="s">
        <v>31</v>
      </c>
      <c r="D14" s="132" t="s">
        <v>32</v>
      </c>
      <c r="E14" s="132" t="s">
        <v>33</v>
      </c>
      <c r="F14" s="132" t="s">
        <v>34</v>
      </c>
      <c r="G14" s="227" t="s">
        <v>35</v>
      </c>
      <c r="H14" s="227"/>
      <c r="I14" s="227"/>
      <c r="J14" s="227"/>
      <c r="K14" s="227"/>
      <c r="L14" s="227"/>
    </row>
    <row r="15" spans="1:15" ht="65.25" customHeight="1" x14ac:dyDescent="0.2">
      <c r="B15" s="134"/>
      <c r="C15" s="132"/>
      <c r="D15" s="132"/>
      <c r="E15" s="132"/>
      <c r="F15" s="132"/>
      <c r="G15" s="103" t="s">
        <v>38</v>
      </c>
      <c r="H15" s="103" t="s">
        <v>43</v>
      </c>
      <c r="I15" s="103" t="s">
        <v>39</v>
      </c>
      <c r="J15" s="103" t="s">
        <v>150</v>
      </c>
      <c r="K15" s="103" t="s">
        <v>152</v>
      </c>
      <c r="L15" s="103" t="s">
        <v>151</v>
      </c>
    </row>
    <row r="16" spans="1:15" ht="10.5" customHeight="1" x14ac:dyDescent="0.2">
      <c r="B16" s="75">
        <v>1</v>
      </c>
      <c r="C16" s="75">
        <v>2</v>
      </c>
      <c r="D16" s="75">
        <v>3</v>
      </c>
      <c r="E16" s="75">
        <v>4</v>
      </c>
      <c r="F16" s="75">
        <v>5</v>
      </c>
      <c r="G16" s="75">
        <v>6</v>
      </c>
      <c r="H16" s="75">
        <v>7</v>
      </c>
      <c r="I16" s="75">
        <v>8</v>
      </c>
      <c r="J16" s="75">
        <v>9</v>
      </c>
      <c r="K16" s="75">
        <v>10</v>
      </c>
      <c r="L16" s="75">
        <v>11</v>
      </c>
    </row>
    <row r="17" spans="2:15" ht="18.75" customHeight="1" x14ac:dyDescent="0.25">
      <c r="B17" s="48"/>
      <c r="C17" s="229" t="s">
        <v>78</v>
      </c>
      <c r="D17" s="229"/>
      <c r="E17" s="229"/>
      <c r="F17" s="229"/>
      <c r="G17" s="229"/>
      <c r="H17" s="229"/>
      <c r="I17" s="229"/>
      <c r="J17" s="229"/>
      <c r="K17" s="229"/>
      <c r="L17" s="229"/>
    </row>
    <row r="18" spans="2:15" ht="29.25" customHeight="1" x14ac:dyDescent="0.25">
      <c r="B18" s="129" t="s">
        <v>0</v>
      </c>
      <c r="C18" s="138" t="s">
        <v>142</v>
      </c>
      <c r="D18" s="132" t="s">
        <v>1</v>
      </c>
      <c r="E18" s="48" t="s">
        <v>2</v>
      </c>
      <c r="F18" s="49">
        <f t="shared" ref="F18:F57" si="0">SUM(G18:L18)</f>
        <v>2064.9</v>
      </c>
      <c r="G18" s="49">
        <f t="shared" ref="G18" si="1">SUM(G19:G22)</f>
        <v>0</v>
      </c>
      <c r="H18" s="49">
        <f t="shared" ref="H18:J18" si="2">SUM(H19:H22)</f>
        <v>0</v>
      </c>
      <c r="I18" s="49">
        <f t="shared" si="2"/>
        <v>0</v>
      </c>
      <c r="J18" s="49">
        <f t="shared" si="2"/>
        <v>610</v>
      </c>
      <c r="K18" s="49">
        <f t="shared" ref="K18:L18" si="3">SUM(K19:K22)</f>
        <v>54.9</v>
      </c>
      <c r="L18" s="49">
        <f t="shared" si="3"/>
        <v>1400</v>
      </c>
    </row>
    <row r="19" spans="2:15" ht="29.25" customHeight="1" x14ac:dyDescent="0.25">
      <c r="B19" s="129"/>
      <c r="C19" s="138"/>
      <c r="D19" s="132"/>
      <c r="E19" s="48" t="s">
        <v>5</v>
      </c>
      <c r="F19" s="49">
        <f>SUM(G19:L19)</f>
        <v>2064.9</v>
      </c>
      <c r="G19" s="51">
        <v>0</v>
      </c>
      <c r="H19" s="51">
        <v>0</v>
      </c>
      <c r="I19" s="51">
        <v>0</v>
      </c>
      <c r="J19" s="51">
        <v>610</v>
      </c>
      <c r="K19" s="51">
        <v>54.9</v>
      </c>
      <c r="L19" s="51">
        <v>1400</v>
      </c>
    </row>
    <row r="20" spans="2:15" ht="29.25" customHeight="1" x14ac:dyDescent="0.25">
      <c r="B20" s="129"/>
      <c r="C20" s="131"/>
      <c r="D20" s="132"/>
      <c r="E20" s="50" t="s">
        <v>3</v>
      </c>
      <c r="F20" s="49">
        <f t="shared" si="0"/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</row>
    <row r="21" spans="2:15" ht="29.25" customHeight="1" x14ac:dyDescent="0.25">
      <c r="B21" s="129"/>
      <c r="C21" s="131"/>
      <c r="D21" s="132"/>
      <c r="E21" s="50" t="s">
        <v>4</v>
      </c>
      <c r="F21" s="49">
        <f t="shared" si="0"/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</row>
    <row r="22" spans="2:15" ht="29.25" customHeight="1" x14ac:dyDescent="0.25">
      <c r="B22" s="129"/>
      <c r="C22" s="131"/>
      <c r="D22" s="132"/>
      <c r="E22" s="50" t="s">
        <v>6</v>
      </c>
      <c r="F22" s="49">
        <f t="shared" si="0"/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</row>
    <row r="23" spans="2:15" ht="15.75" x14ac:dyDescent="0.25">
      <c r="B23" s="141" t="s">
        <v>7</v>
      </c>
      <c r="C23" s="138" t="s">
        <v>143</v>
      </c>
      <c r="D23" s="132" t="s">
        <v>180</v>
      </c>
      <c r="E23" s="48" t="s">
        <v>2</v>
      </c>
      <c r="F23" s="56">
        <f t="shared" ref="F23:F37" si="4">SUM(G23:L23)</f>
        <v>8647</v>
      </c>
      <c r="G23" s="49">
        <f t="shared" ref="G23" si="5">SUM(G24:G27)</f>
        <v>0</v>
      </c>
      <c r="H23" s="49">
        <f>SUM(H24:H27)</f>
        <v>730</v>
      </c>
      <c r="I23" s="49">
        <f t="shared" ref="I23:J23" si="6">SUM(I24:I27)</f>
        <v>1632</v>
      </c>
      <c r="J23" s="49">
        <f t="shared" si="6"/>
        <v>1525</v>
      </c>
      <c r="K23" s="49">
        <f t="shared" ref="K23:L23" si="7">SUM(K24:K27)</f>
        <v>2275</v>
      </c>
      <c r="L23" s="49">
        <f t="shared" si="7"/>
        <v>2485</v>
      </c>
    </row>
    <row r="24" spans="2:15" ht="15.75" x14ac:dyDescent="0.25">
      <c r="B24" s="141"/>
      <c r="C24" s="138"/>
      <c r="D24" s="132"/>
      <c r="E24" s="48" t="s">
        <v>5</v>
      </c>
      <c r="F24" s="56">
        <f t="shared" si="4"/>
        <v>8647</v>
      </c>
      <c r="G24" s="51">
        <f t="shared" ref="G24:H27" si="8">+G29+G34</f>
        <v>0</v>
      </c>
      <c r="H24" s="51">
        <f>+H29+H34</f>
        <v>730</v>
      </c>
      <c r="I24" s="51">
        <f t="shared" ref="I24:J24" si="9">+I29+I34</f>
        <v>1632</v>
      </c>
      <c r="J24" s="51">
        <f t="shared" si="9"/>
        <v>1525</v>
      </c>
      <c r="K24" s="51">
        <f t="shared" ref="K24:L24" si="10">+K29+K34</f>
        <v>2275</v>
      </c>
      <c r="L24" s="51">
        <f t="shared" si="10"/>
        <v>2485</v>
      </c>
    </row>
    <row r="25" spans="2:15" ht="15.75" x14ac:dyDescent="0.25">
      <c r="B25" s="129"/>
      <c r="C25" s="138"/>
      <c r="D25" s="132"/>
      <c r="E25" s="50" t="s">
        <v>3</v>
      </c>
      <c r="F25" s="56">
        <f t="shared" si="4"/>
        <v>0</v>
      </c>
      <c r="G25" s="51">
        <f t="shared" si="8"/>
        <v>0</v>
      </c>
      <c r="H25" s="51">
        <f>+H30+H35</f>
        <v>0</v>
      </c>
      <c r="I25" s="51">
        <f t="shared" ref="I25:J25" si="11">+I30+I35</f>
        <v>0</v>
      </c>
      <c r="J25" s="51">
        <f t="shared" si="11"/>
        <v>0</v>
      </c>
      <c r="K25" s="51">
        <f t="shared" ref="K25:L25" si="12">+K30+K35</f>
        <v>0</v>
      </c>
      <c r="L25" s="51">
        <f t="shared" si="12"/>
        <v>0</v>
      </c>
    </row>
    <row r="26" spans="2:15" ht="15.75" x14ac:dyDescent="0.25">
      <c r="B26" s="129"/>
      <c r="C26" s="138"/>
      <c r="D26" s="132"/>
      <c r="E26" s="50" t="s">
        <v>4</v>
      </c>
      <c r="F26" s="56">
        <f t="shared" si="4"/>
        <v>0</v>
      </c>
      <c r="G26" s="51">
        <f t="shared" si="8"/>
        <v>0</v>
      </c>
      <c r="H26" s="51">
        <f t="shared" si="8"/>
        <v>0</v>
      </c>
      <c r="I26" s="51">
        <f t="shared" ref="I26:J26" si="13">+I31+I36</f>
        <v>0</v>
      </c>
      <c r="J26" s="51">
        <f t="shared" si="13"/>
        <v>0</v>
      </c>
      <c r="K26" s="51">
        <f t="shared" ref="K26:L26" si="14">+K31+K36</f>
        <v>0</v>
      </c>
      <c r="L26" s="51">
        <f t="shared" si="14"/>
        <v>0</v>
      </c>
    </row>
    <row r="27" spans="2:15" ht="15.75" x14ac:dyDescent="0.25">
      <c r="B27" s="129"/>
      <c r="C27" s="138"/>
      <c r="D27" s="132"/>
      <c r="E27" s="50" t="s">
        <v>6</v>
      </c>
      <c r="F27" s="56">
        <f t="shared" si="4"/>
        <v>0</v>
      </c>
      <c r="G27" s="51">
        <f t="shared" si="8"/>
        <v>0</v>
      </c>
      <c r="H27" s="51">
        <f t="shared" si="8"/>
        <v>0</v>
      </c>
      <c r="I27" s="51">
        <f t="shared" ref="I27:J27" si="15">+I32+I37</f>
        <v>0</v>
      </c>
      <c r="J27" s="51">
        <f t="shared" si="15"/>
        <v>0</v>
      </c>
      <c r="K27" s="51">
        <f t="shared" ref="K27:L27" si="16">+K32+K37</f>
        <v>0</v>
      </c>
      <c r="L27" s="51">
        <f t="shared" si="16"/>
        <v>0</v>
      </c>
    </row>
    <row r="28" spans="2:15" ht="15.75" x14ac:dyDescent="0.25">
      <c r="B28" s="230" t="s">
        <v>146</v>
      </c>
      <c r="C28" s="131" t="s">
        <v>148</v>
      </c>
      <c r="D28" s="132" t="s">
        <v>180</v>
      </c>
      <c r="E28" s="48" t="s">
        <v>2</v>
      </c>
      <c r="F28" s="56">
        <f t="shared" si="4"/>
        <v>4467</v>
      </c>
      <c r="G28" s="49">
        <f t="shared" ref="G28" si="17">SUM(G29:G32)</f>
        <v>0</v>
      </c>
      <c r="H28" s="49">
        <f t="shared" ref="H28:J28" si="18">SUM(H29:H32)</f>
        <v>350</v>
      </c>
      <c r="I28" s="49">
        <f t="shared" si="18"/>
        <v>1252</v>
      </c>
      <c r="J28" s="49">
        <f t="shared" si="18"/>
        <v>625</v>
      </c>
      <c r="K28" s="49">
        <f t="shared" ref="K28:L28" si="19">SUM(K29:K32)</f>
        <v>1015</v>
      </c>
      <c r="L28" s="49">
        <f t="shared" si="19"/>
        <v>1225</v>
      </c>
    </row>
    <row r="29" spans="2:15" ht="15.75" x14ac:dyDescent="0.25">
      <c r="B29" s="230"/>
      <c r="C29" s="131"/>
      <c r="D29" s="132"/>
      <c r="E29" s="48" t="s">
        <v>5</v>
      </c>
      <c r="F29" s="56">
        <f t="shared" si="4"/>
        <v>4467</v>
      </c>
      <c r="G29" s="51">
        <v>0</v>
      </c>
      <c r="H29" s="51">
        <f>750-400</f>
        <v>350</v>
      </c>
      <c r="I29" s="51">
        <v>1252</v>
      </c>
      <c r="J29" s="51">
        <v>625</v>
      </c>
      <c r="K29" s="51">
        <v>1015</v>
      </c>
      <c r="L29" s="51">
        <v>1225</v>
      </c>
      <c r="O29" s="24"/>
    </row>
    <row r="30" spans="2:15" ht="15.75" x14ac:dyDescent="0.25">
      <c r="B30" s="140"/>
      <c r="C30" s="131"/>
      <c r="D30" s="132"/>
      <c r="E30" s="50" t="s">
        <v>3</v>
      </c>
      <c r="F30" s="56">
        <f t="shared" si="4"/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</row>
    <row r="31" spans="2:15" ht="15.75" x14ac:dyDescent="0.25">
      <c r="B31" s="140"/>
      <c r="C31" s="131"/>
      <c r="D31" s="132"/>
      <c r="E31" s="50" t="s">
        <v>4</v>
      </c>
      <c r="F31" s="56">
        <f t="shared" si="4"/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</row>
    <row r="32" spans="2:15" ht="15.75" x14ac:dyDescent="0.25">
      <c r="B32" s="140"/>
      <c r="C32" s="131"/>
      <c r="D32" s="132"/>
      <c r="E32" s="50" t="s">
        <v>6</v>
      </c>
      <c r="F32" s="56">
        <f t="shared" si="4"/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</row>
    <row r="33" spans="2:12" ht="28.5" customHeight="1" x14ac:dyDescent="0.25">
      <c r="B33" s="230" t="s">
        <v>147</v>
      </c>
      <c r="C33" s="131" t="s">
        <v>149</v>
      </c>
      <c r="D33" s="132" t="s">
        <v>180</v>
      </c>
      <c r="E33" s="48" t="s">
        <v>2</v>
      </c>
      <c r="F33" s="56">
        <f t="shared" si="4"/>
        <v>4180</v>
      </c>
      <c r="G33" s="49">
        <f t="shared" ref="G33" si="20">SUM(G34:G37)</f>
        <v>0</v>
      </c>
      <c r="H33" s="49">
        <f t="shared" ref="H33:J33" si="21">SUM(H34:H37)</f>
        <v>380</v>
      </c>
      <c r="I33" s="49">
        <f t="shared" si="21"/>
        <v>380</v>
      </c>
      <c r="J33" s="49">
        <f t="shared" si="21"/>
        <v>900</v>
      </c>
      <c r="K33" s="49">
        <f t="shared" ref="K33:L33" si="22">SUM(K34:K37)</f>
        <v>1260</v>
      </c>
      <c r="L33" s="49">
        <f t="shared" si="22"/>
        <v>1260</v>
      </c>
    </row>
    <row r="34" spans="2:12" ht="28.5" customHeight="1" x14ac:dyDescent="0.25">
      <c r="B34" s="230"/>
      <c r="C34" s="131"/>
      <c r="D34" s="132"/>
      <c r="E34" s="48" t="s">
        <v>5</v>
      </c>
      <c r="F34" s="56">
        <f t="shared" si="4"/>
        <v>4180</v>
      </c>
      <c r="G34" s="51">
        <v>0</v>
      </c>
      <c r="H34" s="51">
        <f>780-400</f>
        <v>380</v>
      </c>
      <c r="I34" s="51">
        <v>380</v>
      </c>
      <c r="J34" s="51">
        <v>900</v>
      </c>
      <c r="K34" s="51">
        <v>1260</v>
      </c>
      <c r="L34" s="51">
        <v>1260</v>
      </c>
    </row>
    <row r="35" spans="2:12" ht="28.5" customHeight="1" x14ac:dyDescent="0.25">
      <c r="B35" s="140"/>
      <c r="C35" s="131"/>
      <c r="D35" s="132"/>
      <c r="E35" s="50" t="s">
        <v>3</v>
      </c>
      <c r="F35" s="56">
        <f t="shared" si="4"/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</row>
    <row r="36" spans="2:12" ht="28.5" customHeight="1" x14ac:dyDescent="0.25">
      <c r="B36" s="140"/>
      <c r="C36" s="131"/>
      <c r="D36" s="132"/>
      <c r="E36" s="50" t="s">
        <v>4</v>
      </c>
      <c r="F36" s="56">
        <f t="shared" si="4"/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</row>
    <row r="37" spans="2:12" ht="28.5" customHeight="1" x14ac:dyDescent="0.25">
      <c r="B37" s="140"/>
      <c r="C37" s="131"/>
      <c r="D37" s="132"/>
      <c r="E37" s="50" t="s">
        <v>6</v>
      </c>
      <c r="F37" s="56">
        <f t="shared" si="4"/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</row>
    <row r="38" spans="2:12" ht="15.75" x14ac:dyDescent="0.25">
      <c r="B38" s="141" t="s">
        <v>8</v>
      </c>
      <c r="C38" s="138" t="s">
        <v>144</v>
      </c>
      <c r="D38" s="132" t="s">
        <v>1</v>
      </c>
      <c r="E38" s="48" t="s">
        <v>2</v>
      </c>
      <c r="F38" s="56">
        <f t="shared" si="0"/>
        <v>3300</v>
      </c>
      <c r="G38" s="49">
        <f t="shared" ref="G38" si="23">SUM(G39:G42)</f>
        <v>0</v>
      </c>
      <c r="H38" s="49">
        <f t="shared" ref="H38:J38" si="24">SUM(H39:H42)</f>
        <v>30</v>
      </c>
      <c r="I38" s="49">
        <f t="shared" si="24"/>
        <v>95</v>
      </c>
      <c r="J38" s="49">
        <f t="shared" si="24"/>
        <v>898</v>
      </c>
      <c r="K38" s="49">
        <f t="shared" ref="K38:L38" si="25">SUM(K39:K42)</f>
        <v>1075</v>
      </c>
      <c r="L38" s="49">
        <f t="shared" si="25"/>
        <v>1202</v>
      </c>
    </row>
    <row r="39" spans="2:12" ht="15.75" x14ac:dyDescent="0.25">
      <c r="B39" s="141"/>
      <c r="C39" s="138"/>
      <c r="D39" s="132"/>
      <c r="E39" s="48" t="s">
        <v>5</v>
      </c>
      <c r="F39" s="56">
        <f>SUM(G39:L39)</f>
        <v>3300</v>
      </c>
      <c r="G39" s="51">
        <v>0</v>
      </c>
      <c r="H39" s="51">
        <f>+H44+H49</f>
        <v>30</v>
      </c>
      <c r="I39" s="51">
        <f>+I44+I49</f>
        <v>95</v>
      </c>
      <c r="J39" s="51">
        <f t="shared" ref="J39:L39" si="26">+J44+J49</f>
        <v>898</v>
      </c>
      <c r="K39" s="51">
        <f t="shared" si="26"/>
        <v>1075</v>
      </c>
      <c r="L39" s="51">
        <f t="shared" si="26"/>
        <v>1202</v>
      </c>
    </row>
    <row r="40" spans="2:12" ht="15.75" x14ac:dyDescent="0.25">
      <c r="B40" s="129"/>
      <c r="C40" s="138"/>
      <c r="D40" s="132"/>
      <c r="E40" s="50" t="s">
        <v>3</v>
      </c>
      <c r="F40" s="56">
        <f t="shared" si="0"/>
        <v>0</v>
      </c>
      <c r="G40" s="51">
        <v>0</v>
      </c>
      <c r="H40" s="51">
        <f t="shared" ref="H40:I42" si="27">+H45+H50</f>
        <v>0</v>
      </c>
      <c r="I40" s="51">
        <f t="shared" si="27"/>
        <v>0</v>
      </c>
      <c r="J40" s="51">
        <f t="shared" ref="J40:L40" si="28">+J45+J50</f>
        <v>0</v>
      </c>
      <c r="K40" s="51">
        <f t="shared" si="28"/>
        <v>0</v>
      </c>
      <c r="L40" s="51">
        <f t="shared" si="28"/>
        <v>0</v>
      </c>
    </row>
    <row r="41" spans="2:12" ht="15.75" x14ac:dyDescent="0.25">
      <c r="B41" s="129"/>
      <c r="C41" s="138"/>
      <c r="D41" s="132"/>
      <c r="E41" s="50" t="s">
        <v>4</v>
      </c>
      <c r="F41" s="56">
        <f t="shared" si="0"/>
        <v>0</v>
      </c>
      <c r="G41" s="51">
        <v>0</v>
      </c>
      <c r="H41" s="51">
        <f t="shared" si="27"/>
        <v>0</v>
      </c>
      <c r="I41" s="51">
        <f t="shared" si="27"/>
        <v>0</v>
      </c>
      <c r="J41" s="51">
        <f t="shared" ref="J41:L41" si="29">+J46+J51</f>
        <v>0</v>
      </c>
      <c r="K41" s="51">
        <f t="shared" si="29"/>
        <v>0</v>
      </c>
      <c r="L41" s="51">
        <f t="shared" si="29"/>
        <v>0</v>
      </c>
    </row>
    <row r="42" spans="2:12" ht="15.75" x14ac:dyDescent="0.25">
      <c r="B42" s="129"/>
      <c r="C42" s="138"/>
      <c r="D42" s="132"/>
      <c r="E42" s="50" t="s">
        <v>6</v>
      </c>
      <c r="F42" s="56">
        <f t="shared" si="0"/>
        <v>0</v>
      </c>
      <c r="G42" s="51">
        <v>0</v>
      </c>
      <c r="H42" s="51">
        <f t="shared" si="27"/>
        <v>0</v>
      </c>
      <c r="I42" s="51">
        <f t="shared" si="27"/>
        <v>0</v>
      </c>
      <c r="J42" s="51">
        <f t="shared" ref="J42:L42" si="30">+J47+J52</f>
        <v>0</v>
      </c>
      <c r="K42" s="51">
        <f t="shared" si="30"/>
        <v>0</v>
      </c>
      <c r="L42" s="51">
        <f t="shared" si="30"/>
        <v>0</v>
      </c>
    </row>
    <row r="43" spans="2:12" ht="15.75" x14ac:dyDescent="0.25">
      <c r="B43" s="230" t="s">
        <v>181</v>
      </c>
      <c r="C43" s="131" t="s">
        <v>187</v>
      </c>
      <c r="D43" s="132" t="s">
        <v>1</v>
      </c>
      <c r="E43" s="48" t="s">
        <v>2</v>
      </c>
      <c r="F43" s="56">
        <f t="shared" ref="F43:F52" si="31">SUM(G43:L43)</f>
        <v>2184</v>
      </c>
      <c r="G43" s="49">
        <f t="shared" ref="G43:L43" si="32">SUM(G44:G47)</f>
        <v>0</v>
      </c>
      <c r="H43" s="49">
        <f t="shared" si="32"/>
        <v>0</v>
      </c>
      <c r="I43" s="49">
        <f t="shared" si="32"/>
        <v>0</v>
      </c>
      <c r="J43" s="49">
        <f t="shared" si="32"/>
        <v>596</v>
      </c>
      <c r="K43" s="49">
        <f t="shared" si="32"/>
        <v>744</v>
      </c>
      <c r="L43" s="49">
        <f t="shared" si="32"/>
        <v>844</v>
      </c>
    </row>
    <row r="44" spans="2:12" ht="15.75" x14ac:dyDescent="0.25">
      <c r="B44" s="230"/>
      <c r="C44" s="131"/>
      <c r="D44" s="132"/>
      <c r="E44" s="48" t="s">
        <v>5</v>
      </c>
      <c r="F44" s="56">
        <f t="shared" si="31"/>
        <v>2184</v>
      </c>
      <c r="G44" s="51">
        <v>0</v>
      </c>
      <c r="H44" s="51">
        <v>0</v>
      </c>
      <c r="I44" s="51">
        <v>0</v>
      </c>
      <c r="J44" s="51">
        <v>596</v>
      </c>
      <c r="K44" s="51">
        <v>744</v>
      </c>
      <c r="L44" s="51">
        <v>844</v>
      </c>
    </row>
    <row r="45" spans="2:12" ht="15.75" x14ac:dyDescent="0.25">
      <c r="B45" s="140"/>
      <c r="C45" s="131"/>
      <c r="D45" s="132"/>
      <c r="E45" s="50" t="s">
        <v>3</v>
      </c>
      <c r="F45" s="56">
        <f t="shared" si="31"/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</row>
    <row r="46" spans="2:12" ht="15.75" x14ac:dyDescent="0.25">
      <c r="B46" s="140"/>
      <c r="C46" s="131"/>
      <c r="D46" s="132"/>
      <c r="E46" s="50" t="s">
        <v>4</v>
      </c>
      <c r="F46" s="56">
        <f t="shared" si="31"/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</row>
    <row r="47" spans="2:12" ht="15.75" x14ac:dyDescent="0.25">
      <c r="B47" s="140"/>
      <c r="C47" s="131"/>
      <c r="D47" s="132"/>
      <c r="E47" s="50" t="s">
        <v>6</v>
      </c>
      <c r="F47" s="56">
        <f t="shared" si="31"/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</row>
    <row r="48" spans="2:12" ht="15.75" x14ac:dyDescent="0.25">
      <c r="B48" s="230" t="s">
        <v>182</v>
      </c>
      <c r="C48" s="131" t="s">
        <v>188</v>
      </c>
      <c r="D48" s="132" t="s">
        <v>1</v>
      </c>
      <c r="E48" s="48" t="s">
        <v>2</v>
      </c>
      <c r="F48" s="56">
        <f t="shared" si="31"/>
        <v>1116</v>
      </c>
      <c r="G48" s="49">
        <f t="shared" ref="G48:L48" si="33">SUM(G49:G52)</f>
        <v>0</v>
      </c>
      <c r="H48" s="49">
        <f t="shared" si="33"/>
        <v>30</v>
      </c>
      <c r="I48" s="49">
        <f t="shared" si="33"/>
        <v>95</v>
      </c>
      <c r="J48" s="49">
        <f t="shared" si="33"/>
        <v>302</v>
      </c>
      <c r="K48" s="49">
        <f t="shared" si="33"/>
        <v>331</v>
      </c>
      <c r="L48" s="49">
        <f t="shared" si="33"/>
        <v>358</v>
      </c>
    </row>
    <row r="49" spans="2:13" ht="15.75" x14ac:dyDescent="0.25">
      <c r="B49" s="230"/>
      <c r="C49" s="131"/>
      <c r="D49" s="132"/>
      <c r="E49" s="48" t="s">
        <v>5</v>
      </c>
      <c r="F49" s="56">
        <f t="shared" si="31"/>
        <v>1116</v>
      </c>
      <c r="G49" s="51">
        <v>0</v>
      </c>
      <c r="H49" s="51">
        <v>30</v>
      </c>
      <c r="I49" s="51">
        <v>95</v>
      </c>
      <c r="J49" s="51">
        <v>302</v>
      </c>
      <c r="K49" s="51">
        <v>331</v>
      </c>
      <c r="L49" s="51">
        <v>358</v>
      </c>
    </row>
    <row r="50" spans="2:13" ht="15.75" x14ac:dyDescent="0.25">
      <c r="B50" s="140"/>
      <c r="C50" s="131"/>
      <c r="D50" s="132"/>
      <c r="E50" s="50" t="s">
        <v>3</v>
      </c>
      <c r="F50" s="56">
        <f t="shared" si="31"/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</row>
    <row r="51" spans="2:13" ht="15.75" x14ac:dyDescent="0.25">
      <c r="B51" s="140"/>
      <c r="C51" s="131"/>
      <c r="D51" s="132"/>
      <c r="E51" s="50" t="s">
        <v>4</v>
      </c>
      <c r="F51" s="56">
        <f t="shared" si="31"/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</row>
    <row r="52" spans="2:13" ht="15.75" x14ac:dyDescent="0.25">
      <c r="B52" s="140"/>
      <c r="C52" s="131"/>
      <c r="D52" s="132"/>
      <c r="E52" s="50" t="s">
        <v>6</v>
      </c>
      <c r="F52" s="56">
        <f t="shared" si="31"/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</row>
    <row r="53" spans="2:13" ht="18" customHeight="1" x14ac:dyDescent="0.25">
      <c r="B53" s="129"/>
      <c r="C53" s="228"/>
      <c r="D53" s="132" t="s">
        <v>1</v>
      </c>
      <c r="E53" s="76" t="s">
        <v>2</v>
      </c>
      <c r="F53" s="56">
        <f t="shared" si="0"/>
        <v>14011.9</v>
      </c>
      <c r="G53" s="49">
        <f t="shared" ref="G53:L53" si="34">SUM(G54:G57)</f>
        <v>0</v>
      </c>
      <c r="H53" s="49">
        <f t="shared" si="34"/>
        <v>760</v>
      </c>
      <c r="I53" s="49">
        <f t="shared" si="34"/>
        <v>1727</v>
      </c>
      <c r="J53" s="49">
        <f>SUM(J54:J57)</f>
        <v>3033</v>
      </c>
      <c r="K53" s="49">
        <f t="shared" si="34"/>
        <v>3404.9</v>
      </c>
      <c r="L53" s="49">
        <f t="shared" si="34"/>
        <v>5087</v>
      </c>
    </row>
    <row r="54" spans="2:13" ht="18" customHeight="1" x14ac:dyDescent="0.25">
      <c r="B54" s="129"/>
      <c r="C54" s="228"/>
      <c r="D54" s="132"/>
      <c r="E54" s="76" t="s">
        <v>5</v>
      </c>
      <c r="F54" s="56">
        <f>SUM(G54:L54)</f>
        <v>14011.9</v>
      </c>
      <c r="G54" s="56">
        <f t="shared" ref="G54:H57" si="35">+G19+G24+G39</f>
        <v>0</v>
      </c>
      <c r="H54" s="56">
        <f t="shared" si="35"/>
        <v>760</v>
      </c>
      <c r="I54" s="56">
        <f t="shared" ref="I54:L54" si="36">+I19+I24+I39</f>
        <v>1727</v>
      </c>
      <c r="J54" s="56">
        <f>+J19+J24+J39</f>
        <v>3033</v>
      </c>
      <c r="K54" s="56">
        <f t="shared" si="36"/>
        <v>3404.9</v>
      </c>
      <c r="L54" s="56">
        <f t="shared" si="36"/>
        <v>5087</v>
      </c>
    </row>
    <row r="55" spans="2:13" ht="18" customHeight="1" x14ac:dyDescent="0.25">
      <c r="B55" s="129"/>
      <c r="C55" s="228"/>
      <c r="D55" s="132"/>
      <c r="E55" s="76" t="s">
        <v>3</v>
      </c>
      <c r="F55" s="56">
        <f t="shared" si="0"/>
        <v>0</v>
      </c>
      <c r="G55" s="56">
        <f t="shared" si="35"/>
        <v>0</v>
      </c>
      <c r="H55" s="56">
        <f t="shared" si="35"/>
        <v>0</v>
      </c>
      <c r="I55" s="56">
        <f>+I20+I25+I40</f>
        <v>0</v>
      </c>
      <c r="J55" s="56">
        <f>+J20+J25+J40</f>
        <v>0</v>
      </c>
      <c r="K55" s="56">
        <f t="shared" ref="K55:L57" si="37">+K20+K25+K40</f>
        <v>0</v>
      </c>
      <c r="L55" s="56">
        <f t="shared" si="37"/>
        <v>0</v>
      </c>
    </row>
    <row r="56" spans="2:13" ht="18" customHeight="1" x14ac:dyDescent="0.25">
      <c r="B56" s="129"/>
      <c r="C56" s="228"/>
      <c r="D56" s="132"/>
      <c r="E56" s="76" t="s">
        <v>4</v>
      </c>
      <c r="F56" s="56">
        <f t="shared" si="0"/>
        <v>0</v>
      </c>
      <c r="G56" s="56">
        <f t="shared" si="35"/>
        <v>0</v>
      </c>
      <c r="H56" s="56">
        <f t="shared" si="35"/>
        <v>0</v>
      </c>
      <c r="I56" s="56">
        <f>+I21+I26+I41</f>
        <v>0</v>
      </c>
      <c r="J56" s="56">
        <f>+J21+J26+J41</f>
        <v>0</v>
      </c>
      <c r="K56" s="56">
        <f t="shared" si="37"/>
        <v>0</v>
      </c>
      <c r="L56" s="56">
        <f t="shared" si="37"/>
        <v>0</v>
      </c>
    </row>
    <row r="57" spans="2:13" ht="18" customHeight="1" x14ac:dyDescent="0.25">
      <c r="B57" s="129"/>
      <c r="C57" s="228"/>
      <c r="D57" s="132"/>
      <c r="E57" s="76" t="s">
        <v>6</v>
      </c>
      <c r="F57" s="56">
        <f t="shared" si="0"/>
        <v>0</v>
      </c>
      <c r="G57" s="56">
        <f t="shared" si="35"/>
        <v>0</v>
      </c>
      <c r="H57" s="56">
        <f t="shared" si="35"/>
        <v>0</v>
      </c>
      <c r="I57" s="56">
        <f>+I22+I27+I42</f>
        <v>0</v>
      </c>
      <c r="J57" s="56">
        <f>+J22+J27+J42</f>
        <v>0</v>
      </c>
      <c r="K57" s="56">
        <f t="shared" si="37"/>
        <v>0</v>
      </c>
      <c r="L57" s="56">
        <f t="shared" si="37"/>
        <v>0</v>
      </c>
    </row>
    <row r="58" spans="2:13" ht="18.75" customHeight="1" x14ac:dyDescent="0.25">
      <c r="M58" s="1" t="s">
        <v>122</v>
      </c>
    </row>
    <row r="59" spans="2:13" ht="18.75" customHeight="1" x14ac:dyDescent="0.2"/>
    <row r="60" spans="2:13" ht="18.75" customHeight="1" x14ac:dyDescent="0.2"/>
    <row r="61" spans="2:13" ht="18.75" customHeight="1" x14ac:dyDescent="0.2"/>
    <row r="62" spans="2:13" ht="18.75" customHeight="1" x14ac:dyDescent="0.2"/>
    <row r="63" spans="2:13" ht="18.75" customHeight="1" x14ac:dyDescent="0.2"/>
    <row r="64" spans="2:13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</sheetData>
  <mergeCells count="34">
    <mergeCell ref="B38:B42"/>
    <mergeCell ref="C38:C42"/>
    <mergeCell ref="D38:D42"/>
    <mergeCell ref="B53:B57"/>
    <mergeCell ref="C53:C57"/>
    <mergeCell ref="D53:D57"/>
    <mergeCell ref="B43:B47"/>
    <mergeCell ref="C43:C47"/>
    <mergeCell ref="D43:D47"/>
    <mergeCell ref="B48:B52"/>
    <mergeCell ref="C48:C52"/>
    <mergeCell ref="D48:D52"/>
    <mergeCell ref="B28:B32"/>
    <mergeCell ref="C28:C32"/>
    <mergeCell ref="D28:D32"/>
    <mergeCell ref="B23:B27"/>
    <mergeCell ref="C23:C27"/>
    <mergeCell ref="D23:D27"/>
    <mergeCell ref="B33:B37"/>
    <mergeCell ref="C33:C37"/>
    <mergeCell ref="D33:D37"/>
    <mergeCell ref="N6:O6"/>
    <mergeCell ref="B10:L10"/>
    <mergeCell ref="B11:L11"/>
    <mergeCell ref="B14:B15"/>
    <mergeCell ref="C14:C15"/>
    <mergeCell ref="D14:D15"/>
    <mergeCell ref="E14:E15"/>
    <mergeCell ref="F14:F15"/>
    <mergeCell ref="G14:L14"/>
    <mergeCell ref="C17:L17"/>
    <mergeCell ref="B18:B22"/>
    <mergeCell ref="C18:C22"/>
    <mergeCell ref="D18:D22"/>
  </mergeCells>
  <pageMargins left="1.3779527559055118" right="0.39370078740157483" top="0.78740157480314965" bottom="0.39370078740157483" header="0.19685039370078741" footer="0.15748031496062992"/>
  <pageSetup paperSize="9" scale="50" orientation="portrait" r:id="rId1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97"/>
  <sheetViews>
    <sheetView view="pageBreakPreview" topLeftCell="A40" zoomScaleNormal="100" zoomScaleSheetLayoutView="100" workbookViewId="0">
      <selection activeCell="C42" sqref="C42:G47"/>
    </sheetView>
  </sheetViews>
  <sheetFormatPr defaultRowHeight="12.75" outlineLevelRow="1" x14ac:dyDescent="0.2"/>
  <cols>
    <col min="1" max="1" width="13.5703125" style="2" customWidth="1"/>
    <col min="2" max="2" width="11.140625" style="2" customWidth="1"/>
    <col min="3" max="3" width="12.140625" style="2" customWidth="1"/>
    <col min="4" max="4" width="12" style="2" customWidth="1"/>
    <col min="5" max="5" width="11.140625" style="2" customWidth="1"/>
    <col min="6" max="6" width="11.85546875" style="2" customWidth="1"/>
    <col min="7" max="7" width="11.140625" style="2" customWidth="1"/>
    <col min="8" max="16384" width="9.140625" style="2"/>
  </cols>
  <sheetData>
    <row r="2" spans="1:7" ht="18.75" x14ac:dyDescent="0.3">
      <c r="A2" s="87" t="s">
        <v>227</v>
      </c>
    </row>
    <row r="3" spans="1:7" ht="13.5" thickBot="1" x14ac:dyDescent="0.25"/>
    <row r="4" spans="1:7" ht="18" customHeight="1" thickBot="1" x14ac:dyDescent="0.25">
      <c r="A4" s="231" t="s">
        <v>228</v>
      </c>
      <c r="B4" s="234" t="s">
        <v>229</v>
      </c>
      <c r="C4" s="234" t="s">
        <v>230</v>
      </c>
      <c r="D4" s="236" t="s">
        <v>231</v>
      </c>
      <c r="E4" s="237"/>
      <c r="F4" s="237"/>
      <c r="G4" s="238"/>
    </row>
    <row r="5" spans="1:7" ht="13.5" thickBot="1" x14ac:dyDescent="0.25">
      <c r="A5" s="232"/>
      <c r="B5" s="235"/>
      <c r="C5" s="235"/>
      <c r="D5" s="88" t="s">
        <v>232</v>
      </c>
      <c r="E5" s="88" t="s">
        <v>233</v>
      </c>
      <c r="F5" s="88" t="s">
        <v>234</v>
      </c>
      <c r="G5" s="88" t="s">
        <v>235</v>
      </c>
    </row>
    <row r="6" spans="1:7" ht="13.5" thickBot="1" x14ac:dyDescent="0.25">
      <c r="A6" s="232"/>
      <c r="B6" s="88" t="s">
        <v>38</v>
      </c>
      <c r="C6" s="89">
        <f>SUM(D6:G6)</f>
        <v>1319258.0999999999</v>
      </c>
      <c r="D6" s="90">
        <f>D18+D30+D42+D54+D66+D78+D90</f>
        <v>1053689</v>
      </c>
      <c r="E6" s="90">
        <f t="shared" ref="E6:G6" si="0">E18+E30+E42+E54+E66+E78+E90</f>
        <v>0</v>
      </c>
      <c r="F6" s="90">
        <f t="shared" si="0"/>
        <v>261493.7</v>
      </c>
      <c r="G6" s="90">
        <f t="shared" si="0"/>
        <v>4075.3999999999996</v>
      </c>
    </row>
    <row r="7" spans="1:7" ht="13.5" thickBot="1" x14ac:dyDescent="0.25">
      <c r="A7" s="232"/>
      <c r="B7" s="88" t="s">
        <v>43</v>
      </c>
      <c r="C7" s="89">
        <f t="shared" ref="C7:C11" si="1">SUM(D7:G7)</f>
        <v>1496822.8</v>
      </c>
      <c r="D7" s="90">
        <f t="shared" ref="D7:G7" si="2">D19+D31+D43+D55+D67+D79+D91</f>
        <v>1144307.8</v>
      </c>
      <c r="E7" s="90">
        <f t="shared" si="2"/>
        <v>37568.800000000003</v>
      </c>
      <c r="F7" s="90">
        <f t="shared" si="2"/>
        <v>306799.00000000006</v>
      </c>
      <c r="G7" s="90">
        <f t="shared" si="2"/>
        <v>8147.2</v>
      </c>
    </row>
    <row r="8" spans="1:7" ht="13.5" thickBot="1" x14ac:dyDescent="0.25">
      <c r="A8" s="232"/>
      <c r="B8" s="88" t="s">
        <v>39</v>
      </c>
      <c r="C8" s="89">
        <f t="shared" si="1"/>
        <v>1845547.6</v>
      </c>
      <c r="D8" s="90">
        <f t="shared" ref="D8:G8" si="3">D20+D32+D44+D56+D68+D80+D92</f>
        <v>1355407.6</v>
      </c>
      <c r="E8" s="90">
        <f t="shared" si="3"/>
        <v>90451.6</v>
      </c>
      <c r="F8" s="90">
        <f t="shared" si="3"/>
        <v>388950.2</v>
      </c>
      <c r="G8" s="90">
        <f t="shared" si="3"/>
        <v>10738.199999999999</v>
      </c>
    </row>
    <row r="9" spans="1:7" ht="13.5" thickBot="1" x14ac:dyDescent="0.25">
      <c r="A9" s="232"/>
      <c r="B9" s="88" t="s">
        <v>150</v>
      </c>
      <c r="C9" s="89">
        <f t="shared" si="1"/>
        <v>1919093.4000000001</v>
      </c>
      <c r="D9" s="90">
        <f t="shared" ref="D9:G9" si="4">D21+D33+D45+D57+D69+D81+D93</f>
        <v>1409308.5</v>
      </c>
      <c r="E9" s="90">
        <f t="shared" si="4"/>
        <v>90652.5</v>
      </c>
      <c r="F9" s="90">
        <f t="shared" si="4"/>
        <v>403765.20000000007</v>
      </c>
      <c r="G9" s="90">
        <f t="shared" si="4"/>
        <v>15367.2</v>
      </c>
    </row>
    <row r="10" spans="1:7" ht="13.5" thickBot="1" x14ac:dyDescent="0.25">
      <c r="A10" s="232"/>
      <c r="B10" s="88" t="s">
        <v>152</v>
      </c>
      <c r="C10" s="89">
        <f t="shared" si="1"/>
        <v>1536886.7</v>
      </c>
      <c r="D10" s="90">
        <f t="shared" ref="D10:G10" si="5">D22+D34+D46+D58+D70+D82+D94</f>
        <v>1213661.2</v>
      </c>
      <c r="E10" s="90">
        <f t="shared" si="5"/>
        <v>91333.4</v>
      </c>
      <c r="F10" s="90">
        <f t="shared" si="5"/>
        <v>231892.1</v>
      </c>
      <c r="G10" s="90">
        <f t="shared" si="5"/>
        <v>0</v>
      </c>
    </row>
    <row r="11" spans="1:7" ht="13.5" thickBot="1" x14ac:dyDescent="0.25">
      <c r="A11" s="232"/>
      <c r="B11" s="88" t="s">
        <v>151</v>
      </c>
      <c r="C11" s="89">
        <f t="shared" si="1"/>
        <v>1512261.4000000001</v>
      </c>
      <c r="D11" s="90">
        <f t="shared" ref="D11:G11" si="6">D23+D35+D47+D59+D71+D83+D95</f>
        <v>1175575.1000000001</v>
      </c>
      <c r="E11" s="90">
        <f t="shared" si="6"/>
        <v>93723.1</v>
      </c>
      <c r="F11" s="90">
        <f t="shared" si="6"/>
        <v>242963.19999999998</v>
      </c>
      <c r="G11" s="90">
        <f t="shared" si="6"/>
        <v>0</v>
      </c>
    </row>
    <row r="12" spans="1:7" ht="13.5" hidden="1" outlineLevel="1" thickBot="1" x14ac:dyDescent="0.25">
      <c r="A12" s="233"/>
      <c r="B12" s="88" t="s">
        <v>236</v>
      </c>
      <c r="C12" s="89">
        <f>SUM(D12:G12)</f>
        <v>9629870.0000000019</v>
      </c>
      <c r="D12" s="89">
        <f>SUM(D6:D11)</f>
        <v>7351949.2000000011</v>
      </c>
      <c r="E12" s="89">
        <f t="shared" ref="E12:G12" si="7">SUM(E6:E11)</f>
        <v>403729.4</v>
      </c>
      <c r="F12" s="89">
        <f t="shared" si="7"/>
        <v>1835863.4000000001</v>
      </c>
      <c r="G12" s="89">
        <f t="shared" si="7"/>
        <v>38328</v>
      </c>
    </row>
    <row r="13" spans="1:7" collapsed="1" x14ac:dyDescent="0.2">
      <c r="C13" s="91"/>
      <c r="D13" s="91"/>
      <c r="E13" s="91"/>
      <c r="F13" s="91"/>
      <c r="G13" s="91"/>
    </row>
    <row r="14" spans="1:7" ht="18.75" x14ac:dyDescent="0.3">
      <c r="A14" s="87" t="s">
        <v>237</v>
      </c>
      <c r="C14" s="91"/>
      <c r="D14" s="91"/>
      <c r="E14" s="91"/>
      <c r="F14" s="91"/>
      <c r="G14" s="91"/>
    </row>
    <row r="15" spans="1:7" ht="13.5" thickBot="1" x14ac:dyDescent="0.25">
      <c r="C15" s="91"/>
      <c r="D15" s="91"/>
      <c r="E15" s="91"/>
      <c r="F15" s="91"/>
      <c r="G15" s="91"/>
    </row>
    <row r="16" spans="1:7" ht="13.5" thickBot="1" x14ac:dyDescent="0.25">
      <c r="A16" s="231" t="s">
        <v>238</v>
      </c>
      <c r="B16" s="234" t="s">
        <v>229</v>
      </c>
      <c r="C16" s="239" t="s">
        <v>239</v>
      </c>
      <c r="D16" s="241" t="s">
        <v>240</v>
      </c>
      <c r="E16" s="242"/>
      <c r="F16" s="242"/>
      <c r="G16" s="243"/>
    </row>
    <row r="17" spans="1:7" ht="13.5" thickBot="1" x14ac:dyDescent="0.25">
      <c r="A17" s="232"/>
      <c r="B17" s="235"/>
      <c r="C17" s="240"/>
      <c r="D17" s="92" t="s">
        <v>241</v>
      </c>
      <c r="E17" s="92" t="s">
        <v>242</v>
      </c>
      <c r="F17" s="92" t="s">
        <v>243</v>
      </c>
      <c r="G17" s="92" t="s">
        <v>235</v>
      </c>
    </row>
    <row r="18" spans="1:7" ht="13.5" thickBot="1" x14ac:dyDescent="0.25">
      <c r="A18" s="232"/>
      <c r="B18" s="88" t="s">
        <v>38</v>
      </c>
      <c r="C18" s="89">
        <f>SUM(D18:G18)</f>
        <v>377577.6</v>
      </c>
      <c r="D18" s="90">
        <f>+'ДОУ Подп 1'!G119</f>
        <v>301996.5</v>
      </c>
      <c r="E18" s="90">
        <f>+'ДОУ Подп 1'!G120</f>
        <v>0</v>
      </c>
      <c r="F18" s="90">
        <f>+'ДОУ Подп 1'!G118</f>
        <v>73742.3</v>
      </c>
      <c r="G18" s="90">
        <f>+'ДОУ Подп 1'!G121</f>
        <v>1838.8</v>
      </c>
    </row>
    <row r="19" spans="1:7" ht="13.5" thickBot="1" x14ac:dyDescent="0.25">
      <c r="A19" s="232"/>
      <c r="B19" s="88" t="s">
        <v>43</v>
      </c>
      <c r="C19" s="89">
        <f t="shared" ref="C19:C23" si="8">SUM(D19:G19)</f>
        <v>449353</v>
      </c>
      <c r="D19" s="90">
        <f>+'ДОУ Подп 1'!H119</f>
        <v>358131</v>
      </c>
      <c r="E19" s="90">
        <f>+'ДОУ Подп 1'!H120</f>
        <v>0</v>
      </c>
      <c r="F19" s="90">
        <f>+'ДОУ Подп 1'!H118</f>
        <v>90188.5</v>
      </c>
      <c r="G19" s="90">
        <f>+'ДОУ Подп 1'!H121</f>
        <v>1033.5</v>
      </c>
    </row>
    <row r="20" spans="1:7" ht="13.5" thickBot="1" x14ac:dyDescent="0.25">
      <c r="A20" s="232"/>
      <c r="B20" s="88" t="s">
        <v>39</v>
      </c>
      <c r="C20" s="89">
        <f t="shared" si="8"/>
        <v>573103.1</v>
      </c>
      <c r="D20" s="90">
        <f>+'ДОУ Подп 1'!I119</f>
        <v>447803.1</v>
      </c>
      <c r="E20" s="90">
        <f>+'ДОУ Подп 1'!I120</f>
        <v>0</v>
      </c>
      <c r="F20" s="90">
        <f>+'ДОУ Подп 1'!I118</f>
        <v>119824.40000000001</v>
      </c>
      <c r="G20" s="90">
        <f>+'ДОУ Подп 1'!I121</f>
        <v>5475.6</v>
      </c>
    </row>
    <row r="21" spans="1:7" ht="13.5" thickBot="1" x14ac:dyDescent="0.25">
      <c r="A21" s="232"/>
      <c r="B21" s="88" t="s">
        <v>150</v>
      </c>
      <c r="C21" s="89">
        <f t="shared" si="8"/>
        <v>527000.6</v>
      </c>
      <c r="D21" s="90">
        <f>+'ДОУ Подп 1'!J119</f>
        <v>405423.1</v>
      </c>
      <c r="E21" s="90">
        <f>+'ДОУ Подп 1'!J120</f>
        <v>0</v>
      </c>
      <c r="F21" s="90">
        <f>+'ДОУ Подп 1'!J118</f>
        <v>114560.3</v>
      </c>
      <c r="G21" s="90">
        <f>+'ДОУ Подп 1'!J121</f>
        <v>7017.2</v>
      </c>
    </row>
    <row r="22" spans="1:7" ht="13.5" thickBot="1" x14ac:dyDescent="0.25">
      <c r="A22" s="232"/>
      <c r="B22" s="88" t="s">
        <v>152</v>
      </c>
      <c r="C22" s="89">
        <f t="shared" si="8"/>
        <v>460332.10000000003</v>
      </c>
      <c r="D22" s="90">
        <f>+'ДОУ Подп 1'!K119</f>
        <v>382963.7</v>
      </c>
      <c r="E22" s="90">
        <f>+'ДОУ Подп 1'!K120</f>
        <v>0</v>
      </c>
      <c r="F22" s="90">
        <f>+'ДОУ Подп 1'!K118</f>
        <v>77368.400000000009</v>
      </c>
      <c r="G22" s="90">
        <f>+'ДОУ Подп 1'!K121</f>
        <v>0</v>
      </c>
    </row>
    <row r="23" spans="1:7" ht="13.5" thickBot="1" x14ac:dyDescent="0.25">
      <c r="A23" s="232"/>
      <c r="B23" s="88" t="s">
        <v>151</v>
      </c>
      <c r="C23" s="89">
        <f t="shared" si="8"/>
        <v>408626.10000000003</v>
      </c>
      <c r="D23" s="90">
        <f>+'ДОУ Подп 1'!L119</f>
        <v>343289.4</v>
      </c>
      <c r="E23" s="90">
        <f>+'ДОУ Подп 1'!L120</f>
        <v>0</v>
      </c>
      <c r="F23" s="90">
        <f>+'ДОУ Подп 1'!L118</f>
        <v>65336.7</v>
      </c>
      <c r="G23" s="90">
        <f>+'ДОУ Подп 1'!L121</f>
        <v>0</v>
      </c>
    </row>
    <row r="24" spans="1:7" ht="13.5" hidden="1" outlineLevel="1" thickBot="1" x14ac:dyDescent="0.25">
      <c r="A24" s="233"/>
      <c r="B24" s="88" t="s">
        <v>236</v>
      </c>
      <c r="C24" s="89">
        <f>SUM(D24:G24)</f>
        <v>2795992.5000000005</v>
      </c>
      <c r="D24" s="89">
        <f>SUM(D18:D23)</f>
        <v>2239606.8000000003</v>
      </c>
      <c r="E24" s="89">
        <f t="shared" ref="E24:G24" si="9">SUM(E18:E23)</f>
        <v>0</v>
      </c>
      <c r="F24" s="89">
        <f t="shared" si="9"/>
        <v>541020.6</v>
      </c>
      <c r="G24" s="89">
        <f t="shared" si="9"/>
        <v>15365.100000000002</v>
      </c>
    </row>
    <row r="25" spans="1:7" collapsed="1" x14ac:dyDescent="0.2">
      <c r="C25" s="91"/>
      <c r="D25" s="91"/>
      <c r="E25" s="91"/>
      <c r="F25" s="91"/>
      <c r="G25" s="91"/>
    </row>
    <row r="26" spans="1:7" ht="18.75" x14ac:dyDescent="0.3">
      <c r="A26" s="87" t="s">
        <v>244</v>
      </c>
      <c r="C26" s="91"/>
      <c r="D26" s="91"/>
      <c r="E26" s="91"/>
      <c r="F26" s="91"/>
      <c r="G26" s="91"/>
    </row>
    <row r="27" spans="1:7" ht="13.5" thickBot="1" x14ac:dyDescent="0.25">
      <c r="C27" s="91"/>
      <c r="D27" s="91"/>
      <c r="E27" s="91"/>
      <c r="F27" s="91"/>
      <c r="G27" s="91"/>
    </row>
    <row r="28" spans="1:7" ht="13.5" thickBot="1" x14ac:dyDescent="0.25">
      <c r="A28" s="231" t="s">
        <v>238</v>
      </c>
      <c r="B28" s="234" t="s">
        <v>229</v>
      </c>
      <c r="C28" s="239" t="s">
        <v>239</v>
      </c>
      <c r="D28" s="241" t="s">
        <v>240</v>
      </c>
      <c r="E28" s="242"/>
      <c r="F28" s="242"/>
      <c r="G28" s="243"/>
    </row>
    <row r="29" spans="1:7" ht="16.5" thickBot="1" x14ac:dyDescent="0.25">
      <c r="A29" s="232"/>
      <c r="B29" s="235"/>
      <c r="C29" s="240"/>
      <c r="D29" s="92" t="s">
        <v>241</v>
      </c>
      <c r="E29" s="92" t="s">
        <v>242</v>
      </c>
      <c r="F29" s="92" t="s">
        <v>243</v>
      </c>
      <c r="G29" s="93" t="s">
        <v>235</v>
      </c>
    </row>
    <row r="30" spans="1:7" ht="13.5" thickBot="1" x14ac:dyDescent="0.25">
      <c r="A30" s="232"/>
      <c r="B30" s="88" t="s">
        <v>38</v>
      </c>
      <c r="C30" s="89">
        <f>SUM(D30:G30)</f>
        <v>855355.2</v>
      </c>
      <c r="D30" s="90">
        <f>+'СОШ Подп 2'!G204</f>
        <v>717608</v>
      </c>
      <c r="E30" s="90">
        <f>+'СОШ Подп 2'!G205</f>
        <v>0</v>
      </c>
      <c r="F30" s="90">
        <f>+'СОШ Подп 2'!G203</f>
        <v>135510.6</v>
      </c>
      <c r="G30" s="90">
        <f>+'СОШ Подп 2'!G206</f>
        <v>2236.6</v>
      </c>
    </row>
    <row r="31" spans="1:7" ht="13.5" thickBot="1" x14ac:dyDescent="0.25">
      <c r="A31" s="232"/>
      <c r="B31" s="88" t="s">
        <v>43</v>
      </c>
      <c r="C31" s="89">
        <f t="shared" ref="C31:C35" si="10">SUM(D31:G31)</f>
        <v>965004</v>
      </c>
      <c r="D31" s="90">
        <f>+'СОШ Подп 2'!H204</f>
        <v>753788.7</v>
      </c>
      <c r="E31" s="90">
        <f>+'СОШ Подп 2'!H205</f>
        <v>37568.800000000003</v>
      </c>
      <c r="F31" s="90">
        <f>+'СОШ Подп 2'!H203</f>
        <v>168532.80000000005</v>
      </c>
      <c r="G31" s="90">
        <f>+'СОШ Подп 2'!H206</f>
        <v>5113.7</v>
      </c>
    </row>
    <row r="32" spans="1:7" ht="13.5" thickBot="1" x14ac:dyDescent="0.25">
      <c r="A32" s="232"/>
      <c r="B32" s="88" t="s">
        <v>39</v>
      </c>
      <c r="C32" s="89">
        <f t="shared" si="10"/>
        <v>1182508.2000000002</v>
      </c>
      <c r="D32" s="90">
        <f>+'СОШ Подп 2'!I204</f>
        <v>874165.30000000016</v>
      </c>
      <c r="E32" s="90">
        <f>+'СОШ Подп 2'!I205</f>
        <v>90451.6</v>
      </c>
      <c r="F32" s="90">
        <f>+'СОШ Подп 2'!I203</f>
        <v>212747.60000000003</v>
      </c>
      <c r="G32" s="90">
        <f>+'СОШ Подп 2'!I206</f>
        <v>5143.7</v>
      </c>
    </row>
    <row r="33" spans="1:7" ht="13.5" thickBot="1" x14ac:dyDescent="0.25">
      <c r="A33" s="232"/>
      <c r="B33" s="88" t="s">
        <v>150</v>
      </c>
      <c r="C33" s="89">
        <f t="shared" si="10"/>
        <v>1275017.5000000002</v>
      </c>
      <c r="D33" s="90">
        <f>+'СОШ Подп 2'!J204</f>
        <v>963496.20000000007</v>
      </c>
      <c r="E33" s="90">
        <f>+'СОШ Подп 2'!J205</f>
        <v>90652.5</v>
      </c>
      <c r="F33" s="90">
        <f>+'СОШ Подп 2'!J203</f>
        <v>212518.80000000002</v>
      </c>
      <c r="G33" s="90">
        <f>+'СОШ Подп 2'!J206</f>
        <v>8350</v>
      </c>
    </row>
    <row r="34" spans="1:7" ht="13.5" thickBot="1" x14ac:dyDescent="0.25">
      <c r="A34" s="232"/>
      <c r="B34" s="88" t="s">
        <v>152</v>
      </c>
      <c r="C34" s="89">
        <f t="shared" si="10"/>
        <v>962693.3</v>
      </c>
      <c r="D34" s="90">
        <f>+'СОШ Подп 2'!K204</f>
        <v>794792.1</v>
      </c>
      <c r="E34" s="90">
        <f>+'СОШ Подп 2'!K205</f>
        <v>91333.4</v>
      </c>
      <c r="F34" s="90">
        <f>+'СОШ Подп 2'!K203</f>
        <v>76567.799999999988</v>
      </c>
      <c r="G34" s="90">
        <f>+'СОШ Подп 2'!K206</f>
        <v>0</v>
      </c>
    </row>
    <row r="35" spans="1:7" ht="13.5" thickBot="1" x14ac:dyDescent="0.25">
      <c r="A35" s="232"/>
      <c r="B35" s="88" t="s">
        <v>151</v>
      </c>
      <c r="C35" s="89">
        <f t="shared" si="10"/>
        <v>990616.4</v>
      </c>
      <c r="D35" s="90">
        <f>+'СОШ Подп 2'!L204</f>
        <v>798447.8</v>
      </c>
      <c r="E35" s="90">
        <f>+'СОШ Подп 2'!L205</f>
        <v>93723.1</v>
      </c>
      <c r="F35" s="90">
        <f>+'СОШ Подп 2'!L203</f>
        <v>98445.499999999985</v>
      </c>
      <c r="G35" s="90">
        <f>+'СОШ Подп 2'!L206</f>
        <v>0</v>
      </c>
    </row>
    <row r="36" spans="1:7" ht="13.5" hidden="1" outlineLevel="1" thickBot="1" x14ac:dyDescent="0.25">
      <c r="A36" s="233"/>
      <c r="B36" s="88" t="s">
        <v>236</v>
      </c>
      <c r="C36" s="89">
        <f>SUM(D36:G36)</f>
        <v>6231194.6000000015</v>
      </c>
      <c r="D36" s="89">
        <f>SUM(D30:D35)</f>
        <v>4902298.1000000006</v>
      </c>
      <c r="E36" s="89">
        <f t="shared" ref="E36:G36" si="11">SUM(E30:E35)</f>
        <v>403729.4</v>
      </c>
      <c r="F36" s="89">
        <f t="shared" si="11"/>
        <v>904323.10000000009</v>
      </c>
      <c r="G36" s="89">
        <f t="shared" si="11"/>
        <v>20844</v>
      </c>
    </row>
    <row r="37" spans="1:7" collapsed="1" x14ac:dyDescent="0.2">
      <c r="C37" s="91"/>
      <c r="D37" s="91"/>
      <c r="E37" s="91"/>
      <c r="F37" s="91"/>
      <c r="G37" s="91"/>
    </row>
    <row r="38" spans="1:7" ht="18.75" x14ac:dyDescent="0.3">
      <c r="A38" s="87" t="s">
        <v>245</v>
      </c>
      <c r="C38" s="91"/>
      <c r="D38" s="91"/>
      <c r="E38" s="91"/>
      <c r="F38" s="91"/>
      <c r="G38" s="91"/>
    </row>
    <row r="39" spans="1:7" ht="13.5" thickBot="1" x14ac:dyDescent="0.25">
      <c r="C39" s="91"/>
      <c r="D39" s="91"/>
      <c r="E39" s="91"/>
      <c r="F39" s="91"/>
      <c r="G39" s="91"/>
    </row>
    <row r="40" spans="1:7" ht="13.5" thickBot="1" x14ac:dyDescent="0.25">
      <c r="A40" s="231" t="s">
        <v>238</v>
      </c>
      <c r="B40" s="234" t="s">
        <v>229</v>
      </c>
      <c r="C40" s="239" t="s">
        <v>239</v>
      </c>
      <c r="D40" s="241" t="s">
        <v>240</v>
      </c>
      <c r="E40" s="242"/>
      <c r="F40" s="242"/>
      <c r="G40" s="243"/>
    </row>
    <row r="41" spans="1:7" ht="13.5" thickBot="1" x14ac:dyDescent="0.25">
      <c r="A41" s="232"/>
      <c r="B41" s="235"/>
      <c r="C41" s="240"/>
      <c r="D41" s="92" t="s">
        <v>241</v>
      </c>
      <c r="E41" s="92" t="s">
        <v>242</v>
      </c>
      <c r="F41" s="92" t="s">
        <v>243</v>
      </c>
      <c r="G41" s="92" t="s">
        <v>235</v>
      </c>
    </row>
    <row r="42" spans="1:7" ht="13.5" thickBot="1" x14ac:dyDescent="0.25">
      <c r="A42" s="232"/>
      <c r="B42" s="88" t="s">
        <v>38</v>
      </c>
      <c r="C42" s="89">
        <f>SUM(D42:G42)</f>
        <v>36669.5</v>
      </c>
      <c r="D42" s="90">
        <f>+'ДОП Подп 3'!G100</f>
        <v>5921.1</v>
      </c>
      <c r="E42" s="90">
        <f>+'ДОП Подп 3'!G101</f>
        <v>0</v>
      </c>
      <c r="F42" s="90">
        <f>+'ДОП Подп 3'!G99</f>
        <v>30748.400000000001</v>
      </c>
      <c r="G42" s="90">
        <f>+'ДОП Подп 3'!G102</f>
        <v>0</v>
      </c>
    </row>
    <row r="43" spans="1:7" ht="13.5" thickBot="1" x14ac:dyDescent="0.25">
      <c r="A43" s="232"/>
      <c r="B43" s="88" t="s">
        <v>43</v>
      </c>
      <c r="C43" s="89">
        <f t="shared" ref="C43:C47" si="12">SUM(D43:G43)</f>
        <v>41449.800000000003</v>
      </c>
      <c r="D43" s="90">
        <f>+'ДОП Подп 3'!H100</f>
        <v>11099.8</v>
      </c>
      <c r="E43" s="90">
        <f>+'ДОП Подп 3'!H101</f>
        <v>0</v>
      </c>
      <c r="F43" s="90">
        <f>+'ДОП Подп 3'!H99</f>
        <v>30350</v>
      </c>
      <c r="G43" s="90">
        <f>+'ДОП Подп 3'!H102</f>
        <v>0</v>
      </c>
    </row>
    <row r="44" spans="1:7" ht="13.5" thickBot="1" x14ac:dyDescent="0.25">
      <c r="A44" s="232"/>
      <c r="B44" s="88" t="s">
        <v>39</v>
      </c>
      <c r="C44" s="89">
        <f t="shared" si="12"/>
        <v>44769.1</v>
      </c>
      <c r="D44" s="90">
        <f>+'ДОП Подп 3'!I100</f>
        <v>14927.3</v>
      </c>
      <c r="E44" s="90">
        <f>+'ДОП Подп 3'!I101</f>
        <v>0</v>
      </c>
      <c r="F44" s="90">
        <f>+'ДОП Подп 3'!I99</f>
        <v>29841.8</v>
      </c>
      <c r="G44" s="90">
        <f>+'ДОП Подп 3'!I102</f>
        <v>0</v>
      </c>
    </row>
    <row r="45" spans="1:7" ht="13.5" thickBot="1" x14ac:dyDescent="0.25">
      <c r="A45" s="232"/>
      <c r="B45" s="88" t="s">
        <v>150</v>
      </c>
      <c r="C45" s="89">
        <f t="shared" si="12"/>
        <v>56912.5</v>
      </c>
      <c r="D45" s="90">
        <f>+'ДОП Подп 3'!J100</f>
        <v>17585.8</v>
      </c>
      <c r="E45" s="90">
        <f>+'ДОП Подп 3'!J101</f>
        <v>0</v>
      </c>
      <c r="F45" s="90">
        <f>+'ДОП Подп 3'!J99</f>
        <v>39326.699999999997</v>
      </c>
      <c r="G45" s="90">
        <f>+'ДОП Подп 3'!J102</f>
        <v>0</v>
      </c>
    </row>
    <row r="46" spans="1:7" ht="13.5" thickBot="1" x14ac:dyDescent="0.25">
      <c r="A46" s="232"/>
      <c r="B46" s="88" t="s">
        <v>152</v>
      </c>
      <c r="C46" s="89">
        <f t="shared" si="12"/>
        <v>50964.5</v>
      </c>
      <c r="D46" s="90">
        <f>+'ДОП Подп 3'!K100</f>
        <v>10892.5</v>
      </c>
      <c r="E46" s="90">
        <f>+'ДОП Подп 3'!K101</f>
        <v>0</v>
      </c>
      <c r="F46" s="90">
        <f>+'ДОП Подп 3'!K99</f>
        <v>40072</v>
      </c>
      <c r="G46" s="90">
        <f>+'ДОП Подп 3'!K102</f>
        <v>0</v>
      </c>
    </row>
    <row r="47" spans="1:7" ht="13.5" thickBot="1" x14ac:dyDescent="0.25">
      <c r="A47" s="232"/>
      <c r="B47" s="88" t="s">
        <v>151</v>
      </c>
      <c r="C47" s="89">
        <f t="shared" si="12"/>
        <v>50162</v>
      </c>
      <c r="D47" s="90">
        <f>+'ДОП Подп 3'!L100</f>
        <v>9934</v>
      </c>
      <c r="E47" s="90">
        <f>+'ДОП Подп 3'!L101</f>
        <v>0</v>
      </c>
      <c r="F47" s="90">
        <f>+'ДОП Подп 3'!L99</f>
        <v>40228</v>
      </c>
      <c r="G47" s="90">
        <f>+'ДОП Подп 3'!L102</f>
        <v>0</v>
      </c>
    </row>
    <row r="48" spans="1:7" ht="13.5" hidden="1" outlineLevel="1" thickBot="1" x14ac:dyDescent="0.25">
      <c r="A48" s="233"/>
      <c r="B48" s="88" t="s">
        <v>236</v>
      </c>
      <c r="C48" s="89">
        <f>SUM(D48:G48)</f>
        <v>280927.40000000002</v>
      </c>
      <c r="D48" s="89">
        <f>SUM(D42:D47)</f>
        <v>70360.5</v>
      </c>
      <c r="E48" s="89">
        <f t="shared" ref="E48:G48" si="13">SUM(E42:E47)</f>
        <v>0</v>
      </c>
      <c r="F48" s="89">
        <f t="shared" si="13"/>
        <v>210566.9</v>
      </c>
      <c r="G48" s="89">
        <f t="shared" si="13"/>
        <v>0</v>
      </c>
    </row>
    <row r="49" spans="1:7" collapsed="1" x14ac:dyDescent="0.2">
      <c r="C49" s="91"/>
      <c r="D49" s="91"/>
      <c r="E49" s="91"/>
      <c r="F49" s="91"/>
      <c r="G49" s="91"/>
    </row>
    <row r="50" spans="1:7" ht="18.75" x14ac:dyDescent="0.3">
      <c r="A50" s="87" t="s">
        <v>246</v>
      </c>
      <c r="C50" s="91"/>
      <c r="D50" s="91"/>
      <c r="E50" s="91"/>
      <c r="F50" s="91"/>
      <c r="G50" s="91"/>
    </row>
    <row r="51" spans="1:7" ht="13.5" thickBot="1" x14ac:dyDescent="0.25">
      <c r="C51" s="91"/>
      <c r="D51" s="91"/>
      <c r="E51" s="91"/>
      <c r="F51" s="91"/>
      <c r="G51" s="91"/>
    </row>
    <row r="52" spans="1:7" ht="13.5" thickBot="1" x14ac:dyDescent="0.25">
      <c r="A52" s="231" t="s">
        <v>238</v>
      </c>
      <c r="B52" s="234" t="s">
        <v>229</v>
      </c>
      <c r="C52" s="239" t="s">
        <v>239</v>
      </c>
      <c r="D52" s="241" t="s">
        <v>240</v>
      </c>
      <c r="E52" s="242"/>
      <c r="F52" s="242"/>
      <c r="G52" s="243"/>
    </row>
    <row r="53" spans="1:7" ht="13.5" thickBot="1" x14ac:dyDescent="0.25">
      <c r="A53" s="232"/>
      <c r="B53" s="235"/>
      <c r="C53" s="240"/>
      <c r="D53" s="92" t="s">
        <v>241</v>
      </c>
      <c r="E53" s="92" t="s">
        <v>242</v>
      </c>
      <c r="F53" s="92" t="s">
        <v>243</v>
      </c>
      <c r="G53" s="92" t="s">
        <v>235</v>
      </c>
    </row>
    <row r="54" spans="1:7" ht="13.5" thickBot="1" x14ac:dyDescent="0.25">
      <c r="A54" s="232"/>
      <c r="B54" s="88" t="s">
        <v>38</v>
      </c>
      <c r="C54" s="89">
        <f>SUM(D54:G54)</f>
        <v>35577.600000000006</v>
      </c>
      <c r="D54" s="90">
        <f>+'Оздор Подп 4'!G89</f>
        <v>26588.800000000003</v>
      </c>
      <c r="E54" s="90">
        <f>+'Оздор Подп 4'!G90</f>
        <v>0</v>
      </c>
      <c r="F54" s="90">
        <f>+'Оздор Подп 4'!G88</f>
        <v>8988.7999999999993</v>
      </c>
      <c r="G54" s="90">
        <f>+'Оздор Подп 4'!G91</f>
        <v>0</v>
      </c>
    </row>
    <row r="55" spans="1:7" ht="13.5" thickBot="1" x14ac:dyDescent="0.25">
      <c r="A55" s="232"/>
      <c r="B55" s="88" t="s">
        <v>43</v>
      </c>
      <c r="C55" s="89">
        <f t="shared" ref="C55:C59" si="14">SUM(D55:G55)</f>
        <v>21234</v>
      </c>
      <c r="D55" s="90">
        <f>+'Оздор Подп 4'!H89</f>
        <v>18986.2</v>
      </c>
      <c r="E55" s="90">
        <f>+'Оздор Подп 4'!H90</f>
        <v>0</v>
      </c>
      <c r="F55" s="90">
        <f>+'Оздор Подп 4'!H88</f>
        <v>2247.7999999999997</v>
      </c>
      <c r="G55" s="90">
        <f>+'Оздор Подп 4'!H91</f>
        <v>0</v>
      </c>
    </row>
    <row r="56" spans="1:7" ht="13.5" thickBot="1" x14ac:dyDescent="0.25">
      <c r="A56" s="232"/>
      <c r="B56" s="88" t="s">
        <v>39</v>
      </c>
      <c r="C56" s="89">
        <f t="shared" si="14"/>
        <v>25509.199999999997</v>
      </c>
      <c r="D56" s="90">
        <f>+'Оздор Подп 4'!I89</f>
        <v>14450.199999999999</v>
      </c>
      <c r="E56" s="90">
        <f>+'Оздор Подп 4'!I90</f>
        <v>0</v>
      </c>
      <c r="F56" s="90">
        <f>+'Оздор Подп 4'!I88</f>
        <v>11058.999999999998</v>
      </c>
      <c r="G56" s="90">
        <f>+'Оздор Подп 4'!I91</f>
        <v>0</v>
      </c>
    </row>
    <row r="57" spans="1:7" ht="13.5" thickBot="1" x14ac:dyDescent="0.25">
      <c r="A57" s="232"/>
      <c r="B57" s="88" t="s">
        <v>150</v>
      </c>
      <c r="C57" s="89">
        <f t="shared" si="14"/>
        <v>33348.300000000003</v>
      </c>
      <c r="D57" s="90">
        <f>+'Оздор Подп 4'!J89</f>
        <v>19769.399999999998</v>
      </c>
      <c r="E57" s="90">
        <f>+'Оздор Подп 4'!J90</f>
        <v>0</v>
      </c>
      <c r="F57" s="90">
        <f>+'Оздор Подп 4'!J88</f>
        <v>13578.900000000001</v>
      </c>
      <c r="G57" s="90">
        <f>+'Оздор Подп 4'!J91</f>
        <v>0</v>
      </c>
    </row>
    <row r="58" spans="1:7" ht="13.5" thickBot="1" x14ac:dyDescent="0.25">
      <c r="A58" s="232"/>
      <c r="B58" s="88" t="s">
        <v>152</v>
      </c>
      <c r="C58" s="89">
        <f t="shared" si="14"/>
        <v>36015.9</v>
      </c>
      <c r="D58" s="90">
        <f>+'Оздор Подп 4'!K89</f>
        <v>21978.899999999998</v>
      </c>
      <c r="E58" s="90">
        <f>+'Оздор Подп 4'!K90</f>
        <v>0</v>
      </c>
      <c r="F58" s="90">
        <f>+'Оздор Подп 4'!K88</f>
        <v>14037.000000000002</v>
      </c>
      <c r="G58" s="90">
        <f>+'Оздор Подп 4'!K91</f>
        <v>0</v>
      </c>
    </row>
    <row r="59" spans="1:7" ht="13.5" thickBot="1" x14ac:dyDescent="0.25">
      <c r="A59" s="232"/>
      <c r="B59" s="88" t="s">
        <v>151</v>
      </c>
      <c r="C59" s="89">
        <f t="shared" si="14"/>
        <v>36525.9</v>
      </c>
      <c r="D59" s="90">
        <f>+'Оздор Подп 4'!L89</f>
        <v>21978.899999999998</v>
      </c>
      <c r="E59" s="90">
        <f>+'Оздор Подп 4'!L90</f>
        <v>0</v>
      </c>
      <c r="F59" s="90">
        <f>+'Оздор Подп 4'!L88</f>
        <v>14547.000000000002</v>
      </c>
      <c r="G59" s="90">
        <f>+'Оздор Подп 4'!L91</f>
        <v>0</v>
      </c>
    </row>
    <row r="60" spans="1:7" ht="13.5" hidden="1" outlineLevel="1" thickBot="1" x14ac:dyDescent="0.25">
      <c r="A60" s="233"/>
      <c r="B60" s="88" t="s">
        <v>236</v>
      </c>
      <c r="C60" s="89">
        <f>SUM(D60:G60)</f>
        <v>188210.89999999997</v>
      </c>
      <c r="D60" s="89">
        <f>SUM(D54:D59)</f>
        <v>123752.39999999998</v>
      </c>
      <c r="E60" s="89">
        <f t="shared" ref="E60:G60" si="15">SUM(E54:E59)</f>
        <v>0</v>
      </c>
      <c r="F60" s="89">
        <f t="shared" si="15"/>
        <v>64458.5</v>
      </c>
      <c r="G60" s="89">
        <f t="shared" si="15"/>
        <v>0</v>
      </c>
    </row>
    <row r="61" spans="1:7" collapsed="1" x14ac:dyDescent="0.2">
      <c r="C61" s="91"/>
      <c r="D61" s="91"/>
      <c r="E61" s="91"/>
      <c r="F61" s="91"/>
      <c r="G61" s="91"/>
    </row>
    <row r="62" spans="1:7" ht="18.75" x14ac:dyDescent="0.3">
      <c r="A62" s="87" t="s">
        <v>247</v>
      </c>
      <c r="C62" s="91"/>
      <c r="D62" s="91"/>
      <c r="E62" s="91"/>
      <c r="F62" s="91"/>
      <c r="G62" s="91"/>
    </row>
    <row r="63" spans="1:7" ht="13.5" thickBot="1" x14ac:dyDescent="0.25">
      <c r="C63" s="91"/>
      <c r="D63" s="91"/>
      <c r="E63" s="91"/>
      <c r="F63" s="91"/>
      <c r="G63" s="91"/>
    </row>
    <row r="64" spans="1:7" ht="13.5" thickBot="1" x14ac:dyDescent="0.25">
      <c r="A64" s="244" t="s">
        <v>248</v>
      </c>
      <c r="B64" s="247" t="s">
        <v>229</v>
      </c>
      <c r="C64" s="249" t="s">
        <v>239</v>
      </c>
      <c r="D64" s="251" t="s">
        <v>240</v>
      </c>
      <c r="E64" s="252"/>
      <c r="F64" s="252"/>
      <c r="G64" s="253"/>
    </row>
    <row r="65" spans="1:7" ht="13.5" thickBot="1" x14ac:dyDescent="0.25">
      <c r="A65" s="245"/>
      <c r="B65" s="248"/>
      <c r="C65" s="250"/>
      <c r="D65" s="98" t="s">
        <v>241</v>
      </c>
      <c r="E65" s="98" t="s">
        <v>242</v>
      </c>
      <c r="F65" s="98" t="s">
        <v>243</v>
      </c>
      <c r="G65" s="98" t="s">
        <v>235</v>
      </c>
    </row>
    <row r="66" spans="1:7" ht="13.5" thickBot="1" x14ac:dyDescent="0.25">
      <c r="A66" s="245"/>
      <c r="B66" s="99" t="s">
        <v>38</v>
      </c>
      <c r="C66" s="100">
        <f>SUM(D66:G66)</f>
        <v>4717.2</v>
      </c>
      <c r="D66" s="101">
        <f>+'Ком Подп 5'!G64</f>
        <v>0</v>
      </c>
      <c r="E66" s="101">
        <f>+'Ком Подп 5'!G65</f>
        <v>0</v>
      </c>
      <c r="F66" s="101">
        <f>+'Ком Подп 5'!G63</f>
        <v>4717.2</v>
      </c>
      <c r="G66" s="101">
        <f>+'Ком Подп 5'!G66</f>
        <v>0</v>
      </c>
    </row>
    <row r="67" spans="1:7" ht="13.5" thickBot="1" x14ac:dyDescent="0.25">
      <c r="A67" s="245"/>
      <c r="B67" s="99" t="s">
        <v>43</v>
      </c>
      <c r="C67" s="100">
        <f t="shared" ref="C67:C71" si="16">SUM(D67:G67)</f>
        <v>7840</v>
      </c>
      <c r="D67" s="101">
        <f>+'Ком Подп 5'!H64</f>
        <v>0</v>
      </c>
      <c r="E67" s="101">
        <f>+'Ком Подп 5'!H65</f>
        <v>0</v>
      </c>
      <c r="F67" s="101">
        <f>+'Ком Подп 5'!H63</f>
        <v>5840</v>
      </c>
      <c r="G67" s="101">
        <f>+'Ком Подп 5'!H66</f>
        <v>2000</v>
      </c>
    </row>
    <row r="68" spans="1:7" ht="13.5" thickBot="1" x14ac:dyDescent="0.25">
      <c r="A68" s="245"/>
      <c r="B68" s="99" t="s">
        <v>39</v>
      </c>
      <c r="C68" s="100">
        <f t="shared" si="16"/>
        <v>5248</v>
      </c>
      <c r="D68" s="101">
        <f>+'Ком Подп 5'!I64</f>
        <v>0</v>
      </c>
      <c r="E68" s="101">
        <f>+'Ком Подп 5'!I65</f>
        <v>0</v>
      </c>
      <c r="F68" s="101">
        <f>+'Ком Подп 5'!I63</f>
        <v>5129.1000000000004</v>
      </c>
      <c r="G68" s="101">
        <f>+'Ком Подп 5'!I66</f>
        <v>118.9</v>
      </c>
    </row>
    <row r="69" spans="1:7" ht="13.5" thickBot="1" x14ac:dyDescent="0.25">
      <c r="A69" s="245"/>
      <c r="B69" s="99" t="s">
        <v>150</v>
      </c>
      <c r="C69" s="100">
        <f t="shared" si="16"/>
        <v>9691</v>
      </c>
      <c r="D69" s="101">
        <f>+'Ком Подп 5'!J64</f>
        <v>0</v>
      </c>
      <c r="E69" s="101">
        <f>+'Ком Подп 5'!J65</f>
        <v>0</v>
      </c>
      <c r="F69" s="101">
        <f>+'Ком Подп 5'!J63</f>
        <v>9691</v>
      </c>
      <c r="G69" s="101">
        <f>+'Ком Подп 5'!J66</f>
        <v>0</v>
      </c>
    </row>
    <row r="70" spans="1:7" ht="13.5" thickBot="1" x14ac:dyDescent="0.25">
      <c r="A70" s="245"/>
      <c r="B70" s="99" t="s">
        <v>152</v>
      </c>
      <c r="C70" s="100">
        <f t="shared" si="16"/>
        <v>11903</v>
      </c>
      <c r="D70" s="101">
        <f>+'Ком Подп 5'!K64</f>
        <v>0</v>
      </c>
      <c r="E70" s="101">
        <f>+'Ком Подп 5'!K65</f>
        <v>0</v>
      </c>
      <c r="F70" s="101">
        <f>+'Ком Подп 5'!K63</f>
        <v>11903</v>
      </c>
      <c r="G70" s="101">
        <f>+'Ком Подп 5'!K66</f>
        <v>0</v>
      </c>
    </row>
    <row r="71" spans="1:7" ht="13.5" thickBot="1" x14ac:dyDescent="0.25">
      <c r="A71" s="245"/>
      <c r="B71" s="99" t="s">
        <v>151</v>
      </c>
      <c r="C71" s="100">
        <f t="shared" si="16"/>
        <v>10614</v>
      </c>
      <c r="D71" s="101">
        <f>+'Ком Подп 5'!L64</f>
        <v>0</v>
      </c>
      <c r="E71" s="101">
        <f>+'Ком Подп 5'!L65</f>
        <v>0</v>
      </c>
      <c r="F71" s="101">
        <f>+'Ком Подп 5'!L63</f>
        <v>10614</v>
      </c>
      <c r="G71" s="101">
        <f>+'Ком Подп 5'!L66</f>
        <v>0</v>
      </c>
    </row>
    <row r="72" spans="1:7" ht="13.5" hidden="1" outlineLevel="1" thickBot="1" x14ac:dyDescent="0.25">
      <c r="A72" s="246"/>
      <c r="B72" s="99" t="s">
        <v>236</v>
      </c>
      <c r="C72" s="100">
        <f>SUM(D72:G72)</f>
        <v>50013.200000000004</v>
      </c>
      <c r="D72" s="100">
        <f>SUM(D66:D71)</f>
        <v>0</v>
      </c>
      <c r="E72" s="100">
        <f t="shared" ref="E72:G72" si="17">SUM(E66:E71)</f>
        <v>0</v>
      </c>
      <c r="F72" s="100">
        <f t="shared" si="17"/>
        <v>47894.3</v>
      </c>
      <c r="G72" s="100">
        <f t="shared" si="17"/>
        <v>2118.9</v>
      </c>
    </row>
    <row r="73" spans="1:7" collapsed="1" x14ac:dyDescent="0.2">
      <c r="C73" s="91"/>
      <c r="D73" s="91"/>
      <c r="E73" s="91"/>
      <c r="F73" s="91"/>
      <c r="G73" s="91"/>
    </row>
    <row r="74" spans="1:7" ht="13.5" customHeight="1" x14ac:dyDescent="0.3">
      <c r="A74" s="87" t="s">
        <v>249</v>
      </c>
      <c r="C74" s="91"/>
      <c r="D74" s="91"/>
      <c r="E74" s="91"/>
      <c r="F74" s="91"/>
      <c r="G74" s="91"/>
    </row>
    <row r="75" spans="1:7" ht="13.5" thickBot="1" x14ac:dyDescent="0.25">
      <c r="C75" s="91"/>
      <c r="D75" s="91"/>
      <c r="E75" s="91"/>
      <c r="F75" s="91"/>
      <c r="G75" s="91"/>
    </row>
    <row r="76" spans="1:7" ht="13.5" thickBot="1" x14ac:dyDescent="0.25">
      <c r="A76" s="231" t="s">
        <v>238</v>
      </c>
      <c r="B76" s="234" t="s">
        <v>229</v>
      </c>
      <c r="C76" s="239" t="s">
        <v>239</v>
      </c>
      <c r="D76" s="241" t="s">
        <v>240</v>
      </c>
      <c r="E76" s="242"/>
      <c r="F76" s="242"/>
      <c r="G76" s="243"/>
    </row>
    <row r="77" spans="1:7" ht="13.5" thickBot="1" x14ac:dyDescent="0.25">
      <c r="A77" s="232"/>
      <c r="B77" s="235"/>
      <c r="C77" s="240"/>
      <c r="D77" s="92" t="s">
        <v>241</v>
      </c>
      <c r="E77" s="92" t="s">
        <v>242</v>
      </c>
      <c r="F77" s="92" t="s">
        <v>243</v>
      </c>
      <c r="G77" s="92" t="s">
        <v>235</v>
      </c>
    </row>
    <row r="78" spans="1:7" ht="13.5" thickBot="1" x14ac:dyDescent="0.25">
      <c r="A78" s="232"/>
      <c r="B78" s="88" t="s">
        <v>38</v>
      </c>
      <c r="C78" s="89">
        <f>SUM(D78:G78)</f>
        <v>9361</v>
      </c>
      <c r="D78" s="90">
        <f>+'Ресур Подп 6'!G45</f>
        <v>1574.6</v>
      </c>
      <c r="E78" s="90">
        <f>+'Ресур Подп 6'!G46</f>
        <v>0</v>
      </c>
      <c r="F78" s="90">
        <f>+'Ресур Подп 6'!G44</f>
        <v>7786.4</v>
      </c>
      <c r="G78" s="90">
        <f>+'Ресур Подп 6'!G47</f>
        <v>0</v>
      </c>
    </row>
    <row r="79" spans="1:7" ht="13.5" thickBot="1" x14ac:dyDescent="0.25">
      <c r="A79" s="232"/>
      <c r="B79" s="88" t="s">
        <v>43</v>
      </c>
      <c r="C79" s="89">
        <f t="shared" ref="C79:C83" si="18">SUM(D79:G79)</f>
        <v>11182</v>
      </c>
      <c r="D79" s="90">
        <f>+'Ресур Подп 6'!H45</f>
        <v>2302.1</v>
      </c>
      <c r="E79" s="90">
        <f>+'Ресур Подп 6'!H46</f>
        <v>0</v>
      </c>
      <c r="F79" s="90">
        <f>+'Ресур Подп 6'!H44</f>
        <v>8879.9</v>
      </c>
      <c r="G79" s="90">
        <f>+'Ресур Подп 6'!H47</f>
        <v>0</v>
      </c>
    </row>
    <row r="80" spans="1:7" ht="13.5" thickBot="1" x14ac:dyDescent="0.25">
      <c r="A80" s="232"/>
      <c r="B80" s="88" t="s">
        <v>39</v>
      </c>
      <c r="C80" s="89">
        <f t="shared" si="18"/>
        <v>12683</v>
      </c>
      <c r="D80" s="90">
        <f>+'Ресур Подп 6'!I45</f>
        <v>4061.7</v>
      </c>
      <c r="E80" s="90">
        <f>+'Ресур Подп 6'!I46</f>
        <v>0</v>
      </c>
      <c r="F80" s="90">
        <f>+'Ресур Подп 6'!I44</f>
        <v>8621.2999999999993</v>
      </c>
      <c r="G80" s="90">
        <f>+'Ресур Подп 6'!I47</f>
        <v>0</v>
      </c>
    </row>
    <row r="81" spans="1:7" ht="13.5" thickBot="1" x14ac:dyDescent="0.25">
      <c r="A81" s="232"/>
      <c r="B81" s="88" t="s">
        <v>150</v>
      </c>
      <c r="C81" s="89">
        <f t="shared" si="18"/>
        <v>14090.5</v>
      </c>
      <c r="D81" s="90">
        <f>+'Ресур Подп 6'!J45</f>
        <v>3034</v>
      </c>
      <c r="E81" s="90">
        <f>+'Ресур Подп 6'!J46</f>
        <v>0</v>
      </c>
      <c r="F81" s="90">
        <f>+'Ресур Подп 6'!J44</f>
        <v>11056.5</v>
      </c>
      <c r="G81" s="90">
        <f>+'Ресур Подп 6'!J47</f>
        <v>0</v>
      </c>
    </row>
    <row r="82" spans="1:7" ht="13.5" thickBot="1" x14ac:dyDescent="0.25">
      <c r="A82" s="232"/>
      <c r="B82" s="88" t="s">
        <v>152</v>
      </c>
      <c r="C82" s="89">
        <f t="shared" si="18"/>
        <v>11573</v>
      </c>
      <c r="D82" s="90">
        <f>+'Ресур Подп 6'!K45</f>
        <v>3034</v>
      </c>
      <c r="E82" s="90">
        <f>+'Ресур Подп 6'!K46</f>
        <v>0</v>
      </c>
      <c r="F82" s="90">
        <f>+'Ресур Подп 6'!K44</f>
        <v>8539</v>
      </c>
      <c r="G82" s="90">
        <f>+'Ресур Подп 6'!K47</f>
        <v>0</v>
      </c>
    </row>
    <row r="83" spans="1:7" ht="13.5" thickBot="1" x14ac:dyDescent="0.25">
      <c r="A83" s="232"/>
      <c r="B83" s="88" t="s">
        <v>151</v>
      </c>
      <c r="C83" s="89">
        <f t="shared" si="18"/>
        <v>10630</v>
      </c>
      <c r="D83" s="90">
        <f>+'Ресур Подп 6'!L45</f>
        <v>1925</v>
      </c>
      <c r="E83" s="90">
        <f>+'Ресур Подп 6'!L46</f>
        <v>0</v>
      </c>
      <c r="F83" s="90">
        <f>+'Ресур Подп 6'!L44</f>
        <v>8705</v>
      </c>
      <c r="G83" s="90">
        <f>+'Ресур Подп 6'!L47</f>
        <v>0</v>
      </c>
    </row>
    <row r="84" spans="1:7" ht="13.5" hidden="1" outlineLevel="1" thickBot="1" x14ac:dyDescent="0.25">
      <c r="A84" s="233"/>
      <c r="B84" s="88" t="s">
        <v>236</v>
      </c>
      <c r="C84" s="89">
        <f>SUM(D84:G84)</f>
        <v>69519.5</v>
      </c>
      <c r="D84" s="89">
        <f>SUM(D78:D83)</f>
        <v>15931.4</v>
      </c>
      <c r="E84" s="89">
        <f t="shared" ref="E84:G84" si="19">SUM(E78:E83)</f>
        <v>0</v>
      </c>
      <c r="F84" s="89">
        <f t="shared" si="19"/>
        <v>53588.1</v>
      </c>
      <c r="G84" s="89">
        <f t="shared" si="19"/>
        <v>0</v>
      </c>
    </row>
    <row r="85" spans="1:7" collapsed="1" x14ac:dyDescent="0.2">
      <c r="C85" s="94"/>
      <c r="D85" s="94"/>
      <c r="E85" s="94"/>
      <c r="F85" s="94"/>
      <c r="G85" s="94"/>
    </row>
    <row r="86" spans="1:7" ht="13.5" customHeight="1" x14ac:dyDescent="0.3">
      <c r="A86" s="87" t="s">
        <v>250</v>
      </c>
      <c r="C86" s="91"/>
      <c r="D86" s="91"/>
      <c r="E86" s="91"/>
      <c r="F86" s="91"/>
      <c r="G86" s="91"/>
    </row>
    <row r="87" spans="1:7" ht="13.5" thickBot="1" x14ac:dyDescent="0.25">
      <c r="C87" s="91"/>
      <c r="D87" s="91"/>
      <c r="E87" s="91"/>
      <c r="F87" s="91"/>
      <c r="G87" s="91"/>
    </row>
    <row r="88" spans="1:7" ht="13.5" thickBot="1" x14ac:dyDescent="0.25">
      <c r="A88" s="231" t="s">
        <v>238</v>
      </c>
      <c r="B88" s="234" t="s">
        <v>229</v>
      </c>
      <c r="C88" s="239" t="s">
        <v>239</v>
      </c>
      <c r="D88" s="241" t="s">
        <v>240</v>
      </c>
      <c r="E88" s="242"/>
      <c r="F88" s="242"/>
      <c r="G88" s="243"/>
    </row>
    <row r="89" spans="1:7" ht="13.5" thickBot="1" x14ac:dyDescent="0.25">
      <c r="A89" s="232"/>
      <c r="B89" s="235"/>
      <c r="C89" s="240"/>
      <c r="D89" s="92" t="s">
        <v>241</v>
      </c>
      <c r="E89" s="92" t="s">
        <v>242</v>
      </c>
      <c r="F89" s="92" t="s">
        <v>243</v>
      </c>
      <c r="G89" s="92" t="s">
        <v>235</v>
      </c>
    </row>
    <row r="90" spans="1:7" ht="13.5" thickBot="1" x14ac:dyDescent="0.25">
      <c r="A90" s="232"/>
      <c r="B90" s="88" t="s">
        <v>38</v>
      </c>
      <c r="C90" s="89">
        <f>SUM(D90:G90)</f>
        <v>0</v>
      </c>
      <c r="D90" s="90">
        <f>+'образ Подп 7'!G55</f>
        <v>0</v>
      </c>
      <c r="E90" s="90">
        <f>+'образ Подп 7'!G56</f>
        <v>0</v>
      </c>
      <c r="F90" s="90">
        <f>+'образ Подп 7'!G54</f>
        <v>0</v>
      </c>
      <c r="G90" s="90">
        <f>+'образ Подп 7'!G57</f>
        <v>0</v>
      </c>
    </row>
    <row r="91" spans="1:7" ht="13.5" thickBot="1" x14ac:dyDescent="0.25">
      <c r="A91" s="232"/>
      <c r="B91" s="88" t="s">
        <v>43</v>
      </c>
      <c r="C91" s="89">
        <f t="shared" ref="C91:C95" si="20">SUM(D91:G91)</f>
        <v>760</v>
      </c>
      <c r="D91" s="90">
        <f>+'образ Подп 7'!H55</f>
        <v>0</v>
      </c>
      <c r="E91" s="90">
        <f>+'образ Подп 7'!H56</f>
        <v>0</v>
      </c>
      <c r="F91" s="90">
        <f>+'образ Подп 7'!H54</f>
        <v>760</v>
      </c>
      <c r="G91" s="90">
        <f>+'образ Подп 7'!H57</f>
        <v>0</v>
      </c>
    </row>
    <row r="92" spans="1:7" ht="13.5" thickBot="1" x14ac:dyDescent="0.25">
      <c r="A92" s="232"/>
      <c r="B92" s="88" t="s">
        <v>39</v>
      </c>
      <c r="C92" s="89">
        <f t="shared" si="20"/>
        <v>1727</v>
      </c>
      <c r="D92" s="90">
        <f>+'образ Подп 7'!I55</f>
        <v>0</v>
      </c>
      <c r="E92" s="90">
        <f>+'образ Подп 7'!I56</f>
        <v>0</v>
      </c>
      <c r="F92" s="90">
        <f>+'образ Подп 7'!I54</f>
        <v>1727</v>
      </c>
      <c r="G92" s="90">
        <f>+'образ Подп 7'!I57</f>
        <v>0</v>
      </c>
    </row>
    <row r="93" spans="1:7" ht="13.5" thickBot="1" x14ac:dyDescent="0.25">
      <c r="A93" s="232"/>
      <c r="B93" s="88" t="s">
        <v>150</v>
      </c>
      <c r="C93" s="89">
        <f t="shared" si="20"/>
        <v>3033</v>
      </c>
      <c r="D93" s="90">
        <f>+'образ Подп 7'!J55</f>
        <v>0</v>
      </c>
      <c r="E93" s="90">
        <f>+'образ Подп 7'!J56</f>
        <v>0</v>
      </c>
      <c r="F93" s="90">
        <f>+'образ Подп 7'!J54</f>
        <v>3033</v>
      </c>
      <c r="G93" s="90">
        <f>+'образ Подп 7'!J57</f>
        <v>0</v>
      </c>
    </row>
    <row r="94" spans="1:7" ht="13.5" thickBot="1" x14ac:dyDescent="0.25">
      <c r="A94" s="232"/>
      <c r="B94" s="88" t="s">
        <v>152</v>
      </c>
      <c r="C94" s="89">
        <f t="shared" si="20"/>
        <v>3404.9</v>
      </c>
      <c r="D94" s="90">
        <f>+'образ Подп 7'!K55</f>
        <v>0</v>
      </c>
      <c r="E94" s="90">
        <f>+'образ Подп 7'!K56</f>
        <v>0</v>
      </c>
      <c r="F94" s="90">
        <f>+'образ Подп 7'!K54</f>
        <v>3404.9</v>
      </c>
      <c r="G94" s="90">
        <f>+'образ Подп 7'!K57</f>
        <v>0</v>
      </c>
    </row>
    <row r="95" spans="1:7" ht="13.5" thickBot="1" x14ac:dyDescent="0.25">
      <c r="A95" s="232"/>
      <c r="B95" s="88" t="s">
        <v>151</v>
      </c>
      <c r="C95" s="89">
        <f t="shared" si="20"/>
        <v>5087</v>
      </c>
      <c r="D95" s="90">
        <f>+'образ Подп 7'!L55</f>
        <v>0</v>
      </c>
      <c r="E95" s="90">
        <f>+'образ Подп 7'!L56</f>
        <v>0</v>
      </c>
      <c r="F95" s="90">
        <f>+'образ Подп 7'!L54</f>
        <v>5087</v>
      </c>
      <c r="G95" s="90">
        <f>+'образ Подп 7'!L57</f>
        <v>0</v>
      </c>
    </row>
    <row r="96" spans="1:7" ht="13.5" hidden="1" outlineLevel="1" thickBot="1" x14ac:dyDescent="0.25">
      <c r="A96" s="233"/>
      <c r="B96" s="88" t="s">
        <v>236</v>
      </c>
      <c r="C96" s="89">
        <f>SUM(D96:G96)</f>
        <v>14011.9</v>
      </c>
      <c r="D96" s="89">
        <f>SUM(D90:D95)</f>
        <v>0</v>
      </c>
      <c r="E96" s="89">
        <f t="shared" ref="E96:G96" si="21">SUM(E90:E95)</f>
        <v>0</v>
      </c>
      <c r="F96" s="89">
        <f t="shared" si="21"/>
        <v>14011.9</v>
      </c>
      <c r="G96" s="89">
        <f t="shared" si="21"/>
        <v>0</v>
      </c>
    </row>
    <row r="97" collapsed="1" x14ac:dyDescent="0.2"/>
  </sheetData>
  <mergeCells count="32">
    <mergeCell ref="A76:A84"/>
    <mergeCell ref="B76:B77"/>
    <mergeCell ref="C76:C77"/>
    <mergeCell ref="D76:G76"/>
    <mergeCell ref="A88:A96"/>
    <mergeCell ref="B88:B89"/>
    <mergeCell ref="C88:C89"/>
    <mergeCell ref="D88:G88"/>
    <mergeCell ref="A52:A60"/>
    <mergeCell ref="B52:B53"/>
    <mergeCell ref="C52:C53"/>
    <mergeCell ref="D52:G52"/>
    <mergeCell ref="A64:A72"/>
    <mergeCell ref="B64:B65"/>
    <mergeCell ref="C64:C65"/>
    <mergeCell ref="D64:G64"/>
    <mergeCell ref="A28:A36"/>
    <mergeCell ref="B28:B29"/>
    <mergeCell ref="C28:C29"/>
    <mergeCell ref="D28:G28"/>
    <mergeCell ref="A40:A48"/>
    <mergeCell ref="B40:B41"/>
    <mergeCell ref="C40:C41"/>
    <mergeCell ref="D40:G40"/>
    <mergeCell ref="A4:A12"/>
    <mergeCell ref="B4:B5"/>
    <mergeCell ref="C4:C5"/>
    <mergeCell ref="D4:G4"/>
    <mergeCell ref="A16:A24"/>
    <mergeCell ref="B16:B17"/>
    <mergeCell ref="C16:C17"/>
    <mergeCell ref="D16:G16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ДОУ Подп 1</vt:lpstr>
      <vt:lpstr>СОШ Подп 2</vt:lpstr>
      <vt:lpstr>ДОП Подп 3</vt:lpstr>
      <vt:lpstr>Оздор Подп 4</vt:lpstr>
      <vt:lpstr>Ком Подп 5</vt:lpstr>
      <vt:lpstr>Ресур Подп 6</vt:lpstr>
      <vt:lpstr>образ Подп 7</vt:lpstr>
      <vt:lpstr>Лист1</vt:lpstr>
      <vt:lpstr>'ДОП Подп 3'!Заголовки_для_печати</vt:lpstr>
      <vt:lpstr>'ДОУ Подп 1'!Заголовки_для_печати</vt:lpstr>
      <vt:lpstr>'Ком Подп 5'!Заголовки_для_печати</vt:lpstr>
      <vt:lpstr>'Оздор Подп 4'!Заголовки_для_печати</vt:lpstr>
      <vt:lpstr>'Ресур Подп 6'!Заголовки_для_печати</vt:lpstr>
      <vt:lpstr>Свод!Заголовки_для_печати</vt:lpstr>
      <vt:lpstr>'СОШ Подп 2'!Заголовки_для_печати</vt:lpstr>
      <vt:lpstr>'ДОП Подп 3'!Область_печати</vt:lpstr>
      <vt:lpstr>'ДОУ Подп 1'!Область_печати</vt:lpstr>
      <vt:lpstr>'Ком Подп 5'!Область_печати</vt:lpstr>
      <vt:lpstr>Лист1!Область_печати</vt:lpstr>
      <vt:lpstr>'образ Подп 7'!Область_печати</vt:lpstr>
      <vt:lpstr>'Оздор Подп 4'!Область_печати</vt:lpstr>
      <vt:lpstr>'Ресур Подп 6'!Область_печати</vt:lpstr>
      <vt:lpstr>Свод!Область_печати</vt:lpstr>
      <vt:lpstr>'СОШ Подп 2'!Область_печати</vt:lpstr>
    </vt:vector>
  </TitlesOfParts>
  <Company>OEM 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Laktionova</dc:creator>
  <cp:lastModifiedBy>Кузнецова Ирина Васильевна</cp:lastModifiedBy>
  <cp:lastPrinted>2022-08-05T02:19:55Z</cp:lastPrinted>
  <dcterms:created xsi:type="dcterms:W3CDTF">2014-03-26T06:53:13Z</dcterms:created>
  <dcterms:modified xsi:type="dcterms:W3CDTF">2022-08-15T06:45:33Z</dcterms:modified>
</cp:coreProperties>
</file>