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8820" windowWidth="21840" windowHeight="8970" tabRatio="731"/>
  </bookViews>
  <sheets>
    <sheet name="ПРОГНОЗ 2022-2025" sheetId="18" r:id="rId1"/>
    <sheet name="Приложение 2" sheetId="14" r:id="rId2"/>
    <sheet name="Приложение 3" sheetId="15" r:id="rId3"/>
    <sheet name="Приложение 5" sheetId="16" r:id="rId4"/>
    <sheet name="Приложение 6" sheetId="17" r:id="rId5"/>
  </sheets>
  <definedNames>
    <definedName name="_xlnm.Print_Area" localSheetId="1">'Приложение 2'!$A$1:$AN$45</definedName>
    <definedName name="_xlnm.Print_Area" localSheetId="2">'Приложение 3'!$A$1:$U$46</definedName>
    <definedName name="_xlnm.Print_Area" localSheetId="3">'Приложение 5'!$A$3:$AR$44</definedName>
    <definedName name="_xlnm.Print_Area" localSheetId="0">'ПРОГНОЗ 2022-2025'!$A$1:$I$166</definedName>
  </definedNames>
  <calcPr calcId="145621"/>
</workbook>
</file>

<file path=xl/calcChain.xml><?xml version="1.0" encoding="utf-8"?>
<calcChain xmlns="http://schemas.openxmlformats.org/spreadsheetml/2006/main">
  <c r="D53" i="18" l="1"/>
  <c r="E53" i="18"/>
  <c r="C53" i="18"/>
  <c r="D38" i="18" l="1"/>
  <c r="C38" i="18"/>
  <c r="D35" i="18"/>
  <c r="C35" i="18"/>
  <c r="D11" i="18"/>
  <c r="E11" i="18"/>
  <c r="C11" i="18"/>
  <c r="F20" i="18"/>
  <c r="F11" i="18"/>
  <c r="G11" i="18"/>
  <c r="H11" i="18"/>
  <c r="I11" i="18"/>
  <c r="D32" i="18"/>
  <c r="C32" i="18"/>
  <c r="G130" i="18"/>
  <c r="C9" i="18" l="1"/>
  <c r="C25" i="18" l="1"/>
  <c r="D25" i="18"/>
  <c r="J16" i="15" l="1"/>
  <c r="J22" i="15"/>
  <c r="J27" i="15" s="1"/>
  <c r="D145" i="18" l="1"/>
  <c r="C145" i="18"/>
  <c r="G144" i="18"/>
  <c r="E143" i="18"/>
  <c r="E145" i="18" s="1"/>
  <c r="G111" i="18"/>
  <c r="G110" i="18"/>
  <c r="G109" i="18"/>
  <c r="G108" i="18"/>
  <c r="G107" i="18"/>
  <c r="G106" i="18"/>
  <c r="G105" i="18"/>
  <c r="G104" i="18"/>
  <c r="G103" i="18"/>
  <c r="G102" i="18"/>
  <c r="G101" i="18"/>
  <c r="I100" i="18"/>
  <c r="H100" i="18"/>
  <c r="G100" i="18"/>
  <c r="F100" i="18"/>
  <c r="E100" i="18"/>
  <c r="D100" i="18"/>
  <c r="C100" i="18"/>
  <c r="I98" i="18"/>
  <c r="H98" i="18"/>
  <c r="F98" i="18"/>
  <c r="G98" i="18" s="1"/>
  <c r="E98" i="18"/>
  <c r="D98" i="18"/>
  <c r="G92" i="18"/>
  <c r="I91" i="18"/>
  <c r="H91" i="18"/>
  <c r="F91" i="18"/>
  <c r="G91" i="18" s="1"/>
  <c r="E91" i="18"/>
  <c r="D91" i="18"/>
  <c r="C91" i="18"/>
  <c r="I76" i="18"/>
  <c r="I74" i="18" s="1"/>
  <c r="H76" i="18"/>
  <c r="H74" i="18" s="1"/>
  <c r="G76" i="18"/>
  <c r="F76" i="18"/>
  <c r="F74" i="18" s="1"/>
  <c r="G74" i="18" s="1"/>
  <c r="E76" i="18"/>
  <c r="D76" i="18"/>
  <c r="D74" i="18" s="1"/>
  <c r="E74" i="18"/>
  <c r="C74" i="18"/>
  <c r="E71" i="18"/>
  <c r="F71" i="18" s="1"/>
  <c r="G71" i="18" s="1"/>
  <c r="H71" i="18" s="1"/>
  <c r="I71" i="18" s="1"/>
  <c r="I55" i="18"/>
  <c r="I53" i="18" s="1"/>
  <c r="H55" i="18"/>
  <c r="H53" i="18" s="1"/>
  <c r="G55" i="18"/>
  <c r="G53" i="18" s="1"/>
  <c r="F55" i="18"/>
  <c r="F53" i="18" s="1"/>
  <c r="G54" i="18"/>
  <c r="E51" i="18"/>
  <c r="E50" i="18"/>
  <c r="F50" i="18" s="1"/>
  <c r="I45" i="18"/>
  <c r="H45" i="18"/>
  <c r="G45" i="18"/>
  <c r="F45" i="18"/>
  <c r="E45" i="18"/>
  <c r="D45" i="18"/>
  <c r="C45" i="18"/>
  <c r="I43" i="18"/>
  <c r="H43" i="18"/>
  <c r="G43" i="18"/>
  <c r="F43" i="18"/>
  <c r="E43" i="18"/>
  <c r="D43" i="18"/>
  <c r="C43" i="18"/>
  <c r="I40" i="18"/>
  <c r="H40" i="18"/>
  <c r="G40" i="18"/>
  <c r="F40" i="18"/>
  <c r="E40" i="18"/>
  <c r="D40" i="18"/>
  <c r="C40" i="18"/>
  <c r="G9" i="18"/>
  <c r="D9" i="18"/>
  <c r="D67" i="18" s="1"/>
  <c r="D69" i="18" s="1"/>
  <c r="C69" i="18"/>
  <c r="I9" i="18"/>
  <c r="I67" i="18" s="1"/>
  <c r="I69" i="18" s="1"/>
  <c r="H9" i="18"/>
  <c r="H67" i="18" s="1"/>
  <c r="H69" i="18" s="1"/>
  <c r="F9" i="18"/>
  <c r="F67" i="18" s="1"/>
  <c r="E9" i="18"/>
  <c r="E67" i="18" s="1"/>
  <c r="E69" i="18" s="1"/>
  <c r="G50" i="18" l="1"/>
  <c r="H50" i="18" s="1"/>
  <c r="F51" i="18"/>
  <c r="F69" i="18"/>
  <c r="G67" i="18"/>
  <c r="G69" i="18" s="1"/>
  <c r="F143" i="18"/>
  <c r="H51" i="18" l="1"/>
  <c r="I50" i="18"/>
  <c r="I51" i="18" s="1"/>
  <c r="F145" i="18"/>
  <c r="G143" i="18"/>
  <c r="G145" i="18" l="1"/>
  <c r="H143" i="18"/>
  <c r="H145" i="18" l="1"/>
  <c r="I143" i="18"/>
  <c r="I145" i="18" s="1"/>
  <c r="K21" i="15" l="1"/>
  <c r="L21" i="15"/>
  <c r="M21" i="15"/>
  <c r="N21" i="15"/>
  <c r="O21" i="15"/>
  <c r="K20" i="15"/>
  <c r="J18" i="15"/>
  <c r="J21" i="15"/>
  <c r="AR36" i="16" l="1"/>
  <c r="AQ36" i="16"/>
  <c r="AP36" i="16"/>
  <c r="AO36" i="16"/>
  <c r="AN36" i="16"/>
  <c r="AM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V36" i="16"/>
  <c r="U36" i="16"/>
  <c r="T36" i="16"/>
  <c r="S36" i="16"/>
  <c r="R36" i="16"/>
  <c r="Q36" i="16"/>
  <c r="P36" i="16"/>
  <c r="O36" i="16"/>
  <c r="N36" i="16"/>
  <c r="L36" i="16"/>
  <c r="K36" i="16"/>
  <c r="H36" i="16"/>
  <c r="G36" i="16"/>
  <c r="F36" i="16"/>
  <c r="E36" i="16"/>
  <c r="D36" i="16"/>
  <c r="AL35" i="16"/>
  <c r="X35" i="16"/>
  <c r="AL34" i="16"/>
  <c r="X34" i="16"/>
  <c r="AL33" i="16"/>
  <c r="X33" i="16"/>
  <c r="AL32" i="16"/>
  <c r="X32" i="16"/>
  <c r="AL31" i="16"/>
  <c r="X31" i="16"/>
  <c r="AL30" i="16"/>
  <c r="X30" i="16"/>
  <c r="AL29" i="16"/>
  <c r="X29" i="16"/>
  <c r="AL28" i="16"/>
  <c r="X28" i="16"/>
  <c r="AL27" i="16"/>
  <c r="X27" i="16"/>
  <c r="AL26" i="16"/>
  <c r="X26" i="16"/>
  <c r="AL25" i="16"/>
  <c r="X25" i="16"/>
  <c r="AL24" i="16"/>
  <c r="X24" i="16"/>
  <c r="AL23" i="16"/>
  <c r="X23" i="16"/>
  <c r="AL22" i="16"/>
  <c r="X22" i="16"/>
  <c r="AL21" i="16"/>
  <c r="X21" i="16"/>
  <c r="AL20" i="16"/>
  <c r="X20" i="16"/>
  <c r="AL19" i="16"/>
  <c r="X19" i="16"/>
  <c r="AL18" i="16"/>
  <c r="X18" i="16"/>
  <c r="AL17" i="16"/>
  <c r="X17" i="16"/>
  <c r="AL16" i="16"/>
  <c r="X16" i="16"/>
  <c r="AL15" i="16"/>
  <c r="X15" i="16"/>
  <c r="AL14" i="16"/>
  <c r="X14" i="16"/>
  <c r="AL13" i="16"/>
  <c r="X13" i="16"/>
  <c r="AL12" i="16"/>
  <c r="X12" i="16"/>
  <c r="AL11" i="16"/>
  <c r="X11" i="16"/>
  <c r="AL10" i="16"/>
  <c r="X10" i="16"/>
  <c r="M10" i="16"/>
  <c r="M36" i="16" s="1"/>
  <c r="J10" i="16"/>
  <c r="J36" i="16" s="1"/>
  <c r="I10" i="16"/>
  <c r="I36" i="16" s="1"/>
  <c r="C10" i="16"/>
  <c r="C36" i="16" s="1"/>
  <c r="B10" i="16"/>
  <c r="B36" i="16" s="1"/>
  <c r="AL36" i="16" l="1"/>
  <c r="X36" i="16"/>
  <c r="O37" i="15"/>
  <c r="U37" i="15" s="1"/>
  <c r="N37" i="15"/>
  <c r="T37" i="15" s="1"/>
  <c r="M37" i="15"/>
  <c r="S37" i="15" s="1"/>
  <c r="L37" i="15"/>
  <c r="R37" i="15" s="1"/>
  <c r="K37" i="15"/>
  <c r="Q37" i="15" s="1"/>
  <c r="J37" i="15"/>
  <c r="O36" i="15"/>
  <c r="N36" i="15"/>
  <c r="T36" i="15" s="1"/>
  <c r="M36" i="15"/>
  <c r="S36" i="15" s="1"/>
  <c r="L36" i="15"/>
  <c r="K36" i="15"/>
  <c r="Q36" i="15" s="1"/>
  <c r="J36" i="15"/>
  <c r="O35" i="15"/>
  <c r="N35" i="15"/>
  <c r="T35" i="15" s="1"/>
  <c r="M35" i="15"/>
  <c r="S35" i="15" s="1"/>
  <c r="L35" i="15"/>
  <c r="R35" i="15" s="1"/>
  <c r="K35" i="15"/>
  <c r="Q35" i="15" s="1"/>
  <c r="J35" i="15"/>
  <c r="U34" i="15"/>
  <c r="T34" i="15"/>
  <c r="O34" i="15"/>
  <c r="N34" i="15"/>
  <c r="M34" i="15"/>
  <c r="S34" i="15" s="1"/>
  <c r="L34" i="15"/>
  <c r="R34" i="15" s="1"/>
  <c r="K34" i="15"/>
  <c r="J34" i="15"/>
  <c r="O33" i="15"/>
  <c r="N33" i="15"/>
  <c r="M33" i="15"/>
  <c r="S33" i="15" s="1"/>
  <c r="L33" i="15"/>
  <c r="K33" i="15"/>
  <c r="Q33" i="15" s="1"/>
  <c r="J33" i="15"/>
  <c r="T32" i="15"/>
  <c r="O32" i="15"/>
  <c r="O38" i="15" s="1"/>
  <c r="N32" i="15"/>
  <c r="M32" i="15"/>
  <c r="L32" i="15"/>
  <c r="K32" i="15"/>
  <c r="J32" i="15"/>
  <c r="O29" i="15"/>
  <c r="O30" i="15" s="1"/>
  <c r="N29" i="15"/>
  <c r="N30" i="15" s="1"/>
  <c r="M29" i="15"/>
  <c r="M30" i="15" s="1"/>
  <c r="L29" i="15"/>
  <c r="L30" i="15" s="1"/>
  <c r="K29" i="15"/>
  <c r="K30" i="15" s="1"/>
  <c r="J29" i="15"/>
  <c r="J30" i="15" s="1"/>
  <c r="H26" i="15"/>
  <c r="G26" i="15"/>
  <c r="F26" i="15"/>
  <c r="E26" i="15"/>
  <c r="D26" i="15"/>
  <c r="C26" i="15"/>
  <c r="O25" i="15"/>
  <c r="U25" i="15" s="1"/>
  <c r="N25" i="15"/>
  <c r="M25" i="15"/>
  <c r="L25" i="15"/>
  <c r="K25" i="15"/>
  <c r="R25" i="15" s="1"/>
  <c r="J25" i="15"/>
  <c r="O24" i="15"/>
  <c r="N24" i="15"/>
  <c r="T24" i="15" s="1"/>
  <c r="M24" i="15"/>
  <c r="M26" i="15" s="1"/>
  <c r="L24" i="15"/>
  <c r="K24" i="15"/>
  <c r="J24" i="15"/>
  <c r="S21" i="15"/>
  <c r="R21" i="15"/>
  <c r="Q21" i="15"/>
  <c r="U21" i="15"/>
  <c r="T21" i="15"/>
  <c r="U20" i="15"/>
  <c r="O20" i="15"/>
  <c r="N20" i="15"/>
  <c r="T20" i="15" s="1"/>
  <c r="M20" i="15"/>
  <c r="S20" i="15" s="1"/>
  <c r="L20" i="15"/>
  <c r="R20" i="15" s="1"/>
  <c r="J20" i="15"/>
  <c r="Q20" i="15" s="1"/>
  <c r="O19" i="15"/>
  <c r="N19" i="15"/>
  <c r="M19" i="15"/>
  <c r="L19" i="15"/>
  <c r="K19" i="15"/>
  <c r="J19" i="15"/>
  <c r="S18" i="15"/>
  <c r="O18" i="15"/>
  <c r="N18" i="15"/>
  <c r="M18" i="15"/>
  <c r="L18" i="15"/>
  <c r="K18" i="15"/>
  <c r="Q18" i="15" s="1"/>
  <c r="O15" i="15"/>
  <c r="U15" i="15" s="1"/>
  <c r="N15" i="15"/>
  <c r="T15" i="15" s="1"/>
  <c r="M15" i="15"/>
  <c r="S15" i="15" s="1"/>
  <c r="L15" i="15"/>
  <c r="K15" i="15"/>
  <c r="J15" i="15"/>
  <c r="Q14" i="15"/>
  <c r="O14" i="15"/>
  <c r="U14" i="15" s="1"/>
  <c r="N14" i="15"/>
  <c r="M14" i="15"/>
  <c r="S14" i="15" s="1"/>
  <c r="L14" i="15"/>
  <c r="R14" i="15" s="1"/>
  <c r="K14" i="15"/>
  <c r="J14" i="15"/>
  <c r="O13" i="15"/>
  <c r="U13" i="15" s="1"/>
  <c r="N13" i="15"/>
  <c r="T13" i="15" s="1"/>
  <c r="M13" i="15"/>
  <c r="S13" i="15" s="1"/>
  <c r="L13" i="15"/>
  <c r="R13" i="15" s="1"/>
  <c r="K13" i="15"/>
  <c r="J13" i="15"/>
  <c r="U12" i="15"/>
  <c r="T12" i="15"/>
  <c r="S12" i="15"/>
  <c r="O12" i="15"/>
  <c r="N12" i="15"/>
  <c r="M12" i="15"/>
  <c r="L12" i="15"/>
  <c r="K12" i="15"/>
  <c r="J12" i="15"/>
  <c r="R30" i="15" l="1"/>
  <c r="Q13" i="15"/>
  <c r="U36" i="15"/>
  <c r="R33" i="15"/>
  <c r="S30" i="15"/>
  <c r="Q15" i="15"/>
  <c r="S19" i="15"/>
  <c r="S25" i="15"/>
  <c r="R29" i="15"/>
  <c r="T19" i="15"/>
  <c r="Q25" i="15"/>
  <c r="T25" i="15"/>
  <c r="T33" i="15"/>
  <c r="U19" i="15"/>
  <c r="K26" i="15"/>
  <c r="Q12" i="15"/>
  <c r="K16" i="15"/>
  <c r="Q32" i="15"/>
  <c r="Q34" i="15"/>
  <c r="U33" i="15"/>
  <c r="U35" i="15"/>
  <c r="R12" i="15"/>
  <c r="L16" i="15"/>
  <c r="L38" i="15"/>
  <c r="J26" i="15"/>
  <c r="Q26" i="15" s="1"/>
  <c r="L26" i="15"/>
  <c r="S26" i="15" s="1"/>
  <c r="O26" i="15"/>
  <c r="U26" i="15" s="1"/>
  <c r="M38" i="15"/>
  <c r="S38" i="15" s="1"/>
  <c r="J38" i="15"/>
  <c r="M16" i="15"/>
  <c r="N16" i="15"/>
  <c r="Q24" i="15"/>
  <c r="U32" i="15"/>
  <c r="O16" i="15"/>
  <c r="T18" i="15"/>
  <c r="R24" i="15"/>
  <c r="S24" i="15"/>
  <c r="R32" i="15"/>
  <c r="R36" i="15"/>
  <c r="T14" i="15"/>
  <c r="U18" i="15"/>
  <c r="S32" i="15"/>
  <c r="Q29" i="15"/>
  <c r="R19" i="15"/>
  <c r="R18" i="15"/>
  <c r="K22" i="15"/>
  <c r="T30" i="15"/>
  <c r="U30" i="15"/>
  <c r="Q30" i="15"/>
  <c r="O22" i="15"/>
  <c r="K38" i="15"/>
  <c r="M22" i="15"/>
  <c r="M27" i="15" s="1"/>
  <c r="U29" i="15"/>
  <c r="L22" i="15"/>
  <c r="L27" i="15" s="1"/>
  <c r="N22" i="15"/>
  <c r="N27" i="15" s="1"/>
  <c r="U24" i="15"/>
  <c r="T29" i="15"/>
  <c r="Q19" i="15"/>
  <c r="S29" i="15"/>
  <c r="N38" i="15"/>
  <c r="R15" i="15"/>
  <c r="N26" i="15"/>
  <c r="T26" i="15" s="1"/>
  <c r="Q38" i="15" l="1"/>
  <c r="O27" i="15"/>
  <c r="R26" i="15"/>
  <c r="T38" i="15"/>
  <c r="Q22" i="15"/>
  <c r="K27" i="15"/>
  <c r="Q27" i="15" s="1"/>
  <c r="R22" i="15"/>
  <c r="S22" i="15"/>
  <c r="S27" i="15"/>
  <c r="U38" i="15"/>
  <c r="U22" i="15"/>
  <c r="R38" i="15"/>
  <c r="T22" i="15"/>
  <c r="R27" i="15" l="1"/>
  <c r="T27" i="15"/>
  <c r="U27" i="15"/>
  <c r="AH36" i="14" l="1"/>
  <c r="AG36" i="14"/>
  <c r="AF36" i="14"/>
  <c r="AE36" i="14"/>
  <c r="AD36" i="14"/>
  <c r="AC36" i="14"/>
  <c r="K36" i="14"/>
  <c r="F36" i="14"/>
  <c r="G36" i="14" s="1"/>
  <c r="H36" i="14" s="1"/>
  <c r="I36" i="14" s="1"/>
  <c r="AH35" i="14"/>
  <c r="AG35" i="14"/>
  <c r="AF35" i="14"/>
  <c r="AE35" i="14"/>
  <c r="AD35" i="14"/>
  <c r="AC35" i="14"/>
  <c r="F35" i="14"/>
  <c r="G35" i="14" s="1"/>
  <c r="H35" i="14" s="1"/>
  <c r="I35" i="14" s="1"/>
  <c r="AH34" i="14"/>
  <c r="AG34" i="14"/>
  <c r="AF34" i="14"/>
  <c r="AE34" i="14"/>
  <c r="AD34" i="14"/>
  <c r="AC34" i="14"/>
  <c r="F34" i="14"/>
  <c r="G34" i="14" s="1"/>
  <c r="H34" i="14" s="1"/>
  <c r="I34" i="14" s="1"/>
  <c r="AH33" i="14"/>
  <c r="AG33" i="14"/>
  <c r="AF33" i="14"/>
  <c r="AE33" i="14"/>
  <c r="AD33" i="14"/>
  <c r="AC33" i="14"/>
  <c r="F33" i="14"/>
  <c r="G33" i="14" s="1"/>
  <c r="H33" i="14" s="1"/>
  <c r="I33" i="14" s="1"/>
  <c r="AI32" i="14"/>
  <c r="AC32" i="14" s="1"/>
  <c r="AH32" i="14"/>
  <c r="AG32" i="14"/>
  <c r="AF32" i="14"/>
  <c r="AE32" i="14"/>
  <c r="AD32" i="14"/>
  <c r="F32" i="14"/>
  <c r="J32" i="14" s="1"/>
  <c r="AH30" i="14"/>
  <c r="AG30" i="14"/>
  <c r="AF30" i="14"/>
  <c r="AE30" i="14"/>
  <c r="AD30" i="14"/>
  <c r="AC30" i="14"/>
  <c r="E30" i="14"/>
  <c r="F30" i="14" s="1"/>
  <c r="G30" i="14" s="1"/>
  <c r="H30" i="14" s="1"/>
  <c r="I30" i="14" s="1"/>
  <c r="D30" i="14"/>
  <c r="AH29" i="14"/>
  <c r="AG29" i="14"/>
  <c r="AF29" i="14"/>
  <c r="AE29" i="14"/>
  <c r="AD29" i="14"/>
  <c r="AC29" i="14"/>
  <c r="F29" i="14"/>
  <c r="G29" i="14" s="1"/>
  <c r="H29" i="14" s="1"/>
  <c r="I29" i="14" s="1"/>
  <c r="AH27" i="14"/>
  <c r="AG27" i="14"/>
  <c r="AF27" i="14"/>
  <c r="AE27" i="14"/>
  <c r="AD27" i="14"/>
  <c r="AC27" i="14"/>
  <c r="F27" i="14"/>
  <c r="G27" i="14" s="1"/>
  <c r="H27" i="14" s="1"/>
  <c r="I27" i="14" s="1"/>
  <c r="AH25" i="14"/>
  <c r="AG25" i="14"/>
  <c r="AF25" i="14"/>
  <c r="AE25" i="14"/>
  <c r="AD25" i="14"/>
  <c r="AC25" i="14"/>
  <c r="F25" i="14"/>
  <c r="G25" i="14" s="1"/>
  <c r="H25" i="14" s="1"/>
  <c r="I25" i="14" s="1"/>
  <c r="AH24" i="14"/>
  <c r="AG24" i="14"/>
  <c r="AF24" i="14"/>
  <c r="AE24" i="14"/>
  <c r="AD24" i="14"/>
  <c r="AC24" i="14"/>
  <c r="F24" i="14"/>
  <c r="G24" i="14" s="1"/>
  <c r="H24" i="14" s="1"/>
  <c r="I24" i="14" s="1"/>
  <c r="AH23" i="14"/>
  <c r="AG23" i="14"/>
  <c r="AF23" i="14"/>
  <c r="AE23" i="14"/>
  <c r="AD23" i="14"/>
  <c r="AC23" i="14"/>
  <c r="F23" i="14"/>
  <c r="AH22" i="14"/>
  <c r="AG22" i="14"/>
  <c r="AF22" i="14"/>
  <c r="AE22" i="14"/>
  <c r="AD22" i="14"/>
  <c r="AC22" i="14"/>
  <c r="F22" i="14"/>
  <c r="G22" i="14" s="1"/>
  <c r="H22" i="14" s="1"/>
  <c r="I22" i="14" s="1"/>
  <c r="AH20" i="14"/>
  <c r="AG20" i="14"/>
  <c r="AF20" i="14"/>
  <c r="AE20" i="14"/>
  <c r="AD20" i="14"/>
  <c r="AC20" i="14"/>
  <c r="F20" i="14"/>
  <c r="AC19" i="14"/>
  <c r="AH17" i="14"/>
  <c r="AG17" i="14"/>
  <c r="AF17" i="14"/>
  <c r="AE17" i="14"/>
  <c r="AD17" i="14"/>
  <c r="AC17" i="14"/>
  <c r="F17" i="14"/>
  <c r="AH16" i="14"/>
  <c r="AG16" i="14"/>
  <c r="AF16" i="14"/>
  <c r="AE16" i="14"/>
  <c r="AD16" i="14"/>
  <c r="AC16" i="14"/>
  <c r="F16" i="14"/>
  <c r="G16" i="14" s="1"/>
  <c r="H16" i="14" s="1"/>
  <c r="I16" i="14" s="1"/>
  <c r="AN14" i="14"/>
  <c r="AM14" i="14"/>
  <c r="AL14" i="14"/>
  <c r="AK14" i="14"/>
  <c r="AJ14" i="14"/>
  <c r="AI14" i="14"/>
  <c r="AB14" i="14"/>
  <c r="AA14" i="14"/>
  <c r="Z14" i="14"/>
  <c r="Y14" i="14"/>
  <c r="AE14" i="14" s="1"/>
  <c r="X14" i="14"/>
  <c r="AD14" i="14" s="1"/>
  <c r="W14" i="14"/>
  <c r="AC14" i="14" s="1"/>
  <c r="AH12" i="14"/>
  <c r="AG12" i="14"/>
  <c r="AF12" i="14"/>
  <c r="AE12" i="14"/>
  <c r="AD12" i="14"/>
  <c r="AC12" i="14"/>
  <c r="F12" i="14"/>
  <c r="F8" i="14" s="1"/>
  <c r="AI11" i="14"/>
  <c r="AH11" i="14"/>
  <c r="AG11" i="14"/>
  <c r="AF11" i="14"/>
  <c r="AE11" i="14"/>
  <c r="AD11" i="14"/>
  <c r="Q11" i="14"/>
  <c r="J11" i="14"/>
  <c r="C11" i="14"/>
  <c r="AB9" i="14"/>
  <c r="AB8" i="14" s="1"/>
  <c r="AB37" i="14" s="1"/>
  <c r="AA9" i="14"/>
  <c r="AA8" i="14" s="1"/>
  <c r="AA37" i="14" s="1"/>
  <c r="Z9" i="14"/>
  <c r="Z8" i="14" s="1"/>
  <c r="Y9" i="14"/>
  <c r="Y8" i="14" s="1"/>
  <c r="Y37" i="14" s="1"/>
  <c r="X9" i="14"/>
  <c r="W9" i="14"/>
  <c r="W8" i="14" s="1"/>
  <c r="W37" i="14" s="1"/>
  <c r="AN8" i="14"/>
  <c r="AN37" i="14" s="1"/>
  <c r="AM8" i="14"/>
  <c r="AM37" i="14" s="1"/>
  <c r="AL8" i="14"/>
  <c r="AL37" i="14" s="1"/>
  <c r="AK8" i="14"/>
  <c r="AK37" i="14" s="1"/>
  <c r="AJ8" i="14"/>
  <c r="AJ37" i="14" s="1"/>
  <c r="AI8" i="14"/>
  <c r="AI37" i="14" s="1"/>
  <c r="X8" i="14"/>
  <c r="X37" i="14" s="1"/>
  <c r="V8" i="14"/>
  <c r="V37" i="14" s="1"/>
  <c r="U8" i="14"/>
  <c r="U37" i="14" s="1"/>
  <c r="T8" i="14"/>
  <c r="T37" i="14" s="1"/>
  <c r="S8" i="14"/>
  <c r="S37" i="14" s="1"/>
  <c r="R8" i="14"/>
  <c r="R37" i="14" s="1"/>
  <c r="Q8" i="14"/>
  <c r="Q37" i="14" s="1"/>
  <c r="P8" i="14"/>
  <c r="P37" i="14" s="1"/>
  <c r="O8" i="14"/>
  <c r="O37" i="14" s="1"/>
  <c r="N8" i="14"/>
  <c r="N37" i="14" s="1"/>
  <c r="M8" i="14"/>
  <c r="M37" i="14" s="1"/>
  <c r="L8" i="14"/>
  <c r="L37" i="14" s="1"/>
  <c r="K8" i="14"/>
  <c r="K37" i="14" s="1"/>
  <c r="J8" i="14"/>
  <c r="J37" i="14" s="1"/>
  <c r="E8" i="14"/>
  <c r="E37" i="14" s="1"/>
  <c r="D8" i="14"/>
  <c r="D37" i="14" s="1"/>
  <c r="C8" i="14"/>
  <c r="C37" i="14" s="1"/>
  <c r="AH14" i="14" l="1"/>
  <c r="G17" i="14"/>
  <c r="E32" i="18"/>
  <c r="G20" i="14"/>
  <c r="E35" i="18"/>
  <c r="G23" i="14"/>
  <c r="E38" i="18"/>
  <c r="AG37" i="14"/>
  <c r="AH37" i="14"/>
  <c r="G12" i="14"/>
  <c r="G8" i="14" s="1"/>
  <c r="F37" i="14"/>
  <c r="AF14" i="14"/>
  <c r="AG14" i="14"/>
  <c r="AF8" i="14"/>
  <c r="Z37" i="14"/>
  <c r="AC37" i="14"/>
  <c r="AD37" i="14"/>
  <c r="AE8" i="14"/>
  <c r="G37" i="14"/>
  <c r="AE37" i="14"/>
  <c r="AF37" i="14"/>
  <c r="H12" i="14"/>
  <c r="G32" i="14"/>
  <c r="H32" i="14" s="1"/>
  <c r="I32" i="14" s="1"/>
  <c r="AC9" i="14"/>
  <c r="AC11" i="14" s="1"/>
  <c r="AC8" i="14"/>
  <c r="AG8" i="14"/>
  <c r="AD8" i="14"/>
  <c r="AH8" i="14"/>
  <c r="H23" i="14" l="1"/>
  <c r="F38" i="18"/>
  <c r="H20" i="14"/>
  <c r="F35" i="18"/>
  <c r="H17" i="14"/>
  <c r="F32" i="18"/>
  <c r="F25" i="18" s="1"/>
  <c r="E25" i="18"/>
  <c r="I12" i="14"/>
  <c r="I8" i="14" s="1"/>
  <c r="H8" i="14"/>
  <c r="H37" i="14" s="1"/>
  <c r="I17" i="14" l="1"/>
  <c r="G32" i="18"/>
  <c r="I20" i="14"/>
  <c r="G35" i="18"/>
  <c r="I23" i="14"/>
  <c r="G38" i="18"/>
  <c r="H35" i="18" l="1"/>
  <c r="I35" i="18"/>
  <c r="I32" i="18"/>
  <c r="H32" i="18"/>
  <c r="I38" i="18"/>
  <c r="H38" i="18"/>
  <c r="G25" i="18"/>
  <c r="I37" i="14"/>
  <c r="H25" i="18" l="1"/>
  <c r="I25" i="1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G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H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  <comment ref="I15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 2020г. Налогообложение от кадастровой стоимости</t>
        </r>
      </text>
    </comment>
  </commentList>
</comments>
</file>

<file path=xl/sharedStrings.xml><?xml version="1.0" encoding="utf-8"?>
<sst xmlns="http://schemas.openxmlformats.org/spreadsheetml/2006/main" count="646" uniqueCount="285">
  <si>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</si>
  <si>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</si>
  <si>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</si>
  <si>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</si>
  <si>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</si>
  <si>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</si>
  <si>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</si>
  <si>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</si>
  <si>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</si>
  <si>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</si>
  <si>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</si>
  <si>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</si>
  <si>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</si>
  <si>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</si>
  <si>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</si>
  <si>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</si>
  <si>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</si>
  <si>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</si>
  <si>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</si>
  <si>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</si>
  <si>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</si>
  <si>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</si>
  <si>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</si>
  <si>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</si>
  <si>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</si>
  <si>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</si>
  <si>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</si>
  <si>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</si>
  <si>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</si>
  <si>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</si>
  <si>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</si>
  <si>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</si>
  <si>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</si>
  <si>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</si>
  <si>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</si>
  <si>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</si>
  <si>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</si>
  <si>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тыс.шт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</si>
  <si>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</si>
  <si>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</si>
  <si>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</si>
  <si>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</si>
  <si>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</si>
  <si>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</si>
  <si>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</si>
  <si>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</si>
  <si>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</si>
  <si>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</si>
  <si>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</si>
  <si>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</si>
  <si>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</si>
  <si>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</si>
  <si>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</si>
  <si>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</si>
  <si>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</si>
  <si>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</si>
  <si>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</si>
  <si>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</si>
  <si>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</si>
  <si>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</si>
  <si>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</si>
  <si>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</si>
  <si>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</si>
  <si>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</si>
  <si>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</si>
  <si>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</si>
  <si>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</si>
  <si>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</si>
  <si>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</si>
  <si>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</si>
  <si>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</si>
  <si>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</si>
  <si>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</si>
  <si>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</si>
  <si>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</si>
  <si>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</si>
  <si>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</si>
  <si>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</si>
  <si>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</si>
  <si>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</si>
  <si>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</si>
  <si>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</si>
  <si>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</si>
  <si>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</si>
  <si>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</si>
  <si>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</si>
  <si>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</si>
  <si>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</si>
  <si>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</si>
  <si>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</si>
  <si>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</si>
  <si>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</si>
  <si>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</si>
  <si>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</si>
  <si>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</si>
  <si>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</si>
  <si>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</si>
  <si>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</si>
  <si>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</si>
  <si>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</si>
  <si>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</si>
  <si>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</si>
  <si>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</si>
  <si>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</si>
  <si>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</si>
  <si>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</si>
  <si>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</si>
  <si>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</si>
  <si>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</si>
  <si>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</si>
  <si>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</si>
  <si>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</si>
  <si>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</si>
  <si>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</si>
  <si>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</si>
  <si>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</si>
  <si>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</si>
  <si>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</si>
  <si>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</si>
  <si>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</si>
  <si>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</si>
  <si>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</si>
  <si>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</si>
  <si>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</si>
  <si>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</si>
  <si>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</si>
  <si>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</si>
  <si>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</si>
  <si>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</si>
  <si>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</si>
  <si>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</si>
  <si>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</si>
  <si>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</si>
  <si>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</si>
  <si>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</si>
  <si>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</si>
  <si>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</si>
  <si>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</si>
  <si>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</si>
  <si>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</si>
  <si>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</si>
  <si>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</si>
  <si>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</si>
  <si>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</si>
  <si>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</si>
  <si>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</si>
  <si>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</si>
  <si>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</si>
  <si>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</si>
  <si>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</si>
  <si>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</si>
  <si>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</si>
  <si>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</si>
  <si>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</si>
  <si>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</si>
  <si>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</si>
  <si>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</si>
  <si>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</si>
  <si>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</si>
  <si>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</si>
  <si>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</si>
  <si>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</si>
  <si>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</si>
  <si>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</si>
  <si>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</si>
  <si>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</si>
  <si>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</si>
  <si>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Обрабатывающие производства, всего (С)</t>
  </si>
  <si>
    <t>Строительство (F)- всего</t>
  </si>
  <si>
    <t>Торговля оптовая и розничная; ремонт автотранспортных средств и мотоциклов (G) - всего</t>
  </si>
  <si>
    <t>ВСЕГО по муниципальному образованию</t>
  </si>
  <si>
    <t>Транспортировка и хранение</t>
  </si>
  <si>
    <t>Деятельность в области информации и связи</t>
  </si>
  <si>
    <t>Производство пищевых продуктов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</si>
  <si>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</si>
  <si>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</si>
  <si>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</si>
  <si>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Полуфабрикаты мясные, мясосодержащие, охлажденные, замороженные,т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</si>
  <si>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</si>
  <si>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</si>
  <si>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Щепа технологическая,Тысяча плотных кубических метров</t>
  </si>
  <si>
    <t>Обеспечение электрической энергией, газом и паром; кондиционирование воздуха (раздел D)</t>
  </si>
  <si>
    <t xml:space="preserve"> Обрабатывающие производства (Раздел  С)</t>
  </si>
  <si>
    <t>Электроэнергия,Гигаватт-час (миллион киловатт-часов)</t>
  </si>
  <si>
    <t>Энергия тепловая, отпущенная котельными,Тысяча гигакалорий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</si>
  <si>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</si>
  <si>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</si>
  <si>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</si>
  <si>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</si>
  <si>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</si>
  <si>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</si>
  <si>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</si>
  <si>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</si>
  <si>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</si>
  <si>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</si>
  <si>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</si>
  <si>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</si>
  <si>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</si>
  <si>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</si>
  <si>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Отдельные показатели прогноза развития муниципальных образований поселенческого уровня на 2020-2022 годы*</t>
  </si>
  <si>
    <t>Вывозка древесины</t>
  </si>
  <si>
    <t>Культура и искусство</t>
  </si>
  <si>
    <t>Физическая культура</t>
  </si>
  <si>
    <t>Управление</t>
  </si>
  <si>
    <t xml:space="preserve">х </t>
  </si>
  <si>
    <t>ООО "Братская птицефабрика"</t>
  </si>
  <si>
    <t>Тэмьское</t>
  </si>
  <si>
    <t>ОАО "Группа "Илим" в Братском районе"</t>
  </si>
  <si>
    <t>Озернинское</t>
  </si>
  <si>
    <t>Шумиловское</t>
  </si>
  <si>
    <t>Вихоревское</t>
  </si>
  <si>
    <t>Харанжинское</t>
  </si>
  <si>
    <t>Покоснинское</t>
  </si>
  <si>
    <t>Кежемское</t>
  </si>
  <si>
    <t>Тангуйское</t>
  </si>
  <si>
    <t>МУП "ЦРА 166"</t>
  </si>
  <si>
    <t>Транспортровка и хранение</t>
  </si>
  <si>
    <t>Малый бизне всего</t>
  </si>
  <si>
    <t>Большеокинское</t>
  </si>
  <si>
    <t>Добчурское</t>
  </si>
  <si>
    <t>Зябинское</t>
  </si>
  <si>
    <t>Илирское</t>
  </si>
  <si>
    <t>Калтукское</t>
  </si>
  <si>
    <t>Карахунское</t>
  </si>
  <si>
    <t>Ключи-Булакское</t>
  </si>
  <si>
    <t>Кобинское</t>
  </si>
  <si>
    <t>Кобляковское</t>
  </si>
  <si>
    <t>Куватское</t>
  </si>
  <si>
    <t>Кузнецовское</t>
  </si>
  <si>
    <t>Наратайское</t>
  </si>
  <si>
    <t>Прибойнинское</t>
  </si>
  <si>
    <t>Прибрежнинское</t>
  </si>
  <si>
    <t>Тарминское</t>
  </si>
  <si>
    <t>Турманское</t>
  </si>
  <si>
    <t>Тынкобь</t>
  </si>
  <si>
    <t>территория МО "Братский район"</t>
  </si>
  <si>
    <t xml:space="preserve">Прочая деятельность </t>
  </si>
  <si>
    <t>Заместитель мэра по экономике и финансам –</t>
  </si>
  <si>
    <t>начальник финансового управления</t>
  </si>
  <si>
    <t>Исп. начальник отдела экономическоко развития АМО "Братский район" Лактионова М.А. 8 (3953) 41-69-92</t>
  </si>
  <si>
    <t>2023 год</t>
  </si>
  <si>
    <t>Факт 
2019 г.</t>
  </si>
  <si>
    <t>2023 г.</t>
  </si>
  <si>
    <t>прочие</t>
  </si>
  <si>
    <t>ООО "Охотничье и рыболовное хозяйство</t>
  </si>
  <si>
    <t>Вихоревка</t>
  </si>
  <si>
    <t>ПАО "Аэропорт Братск"</t>
  </si>
  <si>
    <t>Кобляково</t>
  </si>
  <si>
    <t>МУП "Рута"</t>
  </si>
  <si>
    <t>МУП  "Данко"</t>
  </si>
  <si>
    <t xml:space="preserve">Объем произведенной продукции в сопоставимых ценах </t>
  </si>
  <si>
    <t>Факт 
2020 года</t>
  </si>
  <si>
    <t>2024 год</t>
  </si>
  <si>
    <t>Факт 
2020 г.</t>
  </si>
  <si>
    <t>2024 г.</t>
  </si>
  <si>
    <t xml:space="preserve">Выпуск продукции в натуральном выражении
(Т)
</t>
  </si>
  <si>
    <t>пиломатериал, тыс.м3</t>
  </si>
  <si>
    <t>Обеспечение электрической энергией, газом и паром; кондиционирование воздуха (D)</t>
  </si>
  <si>
    <t>Водоснабжение; водоотведение, организация сбора и утилизации отходов, деятельность по ликвидации загрязнений  (Е)</t>
  </si>
  <si>
    <t>ООО "Объединенная вихоревская управляющая компания"</t>
  </si>
  <si>
    <r>
      <t>Основные сведения 
о градообразующем предприятии
(</t>
    </r>
    <r>
      <rPr>
        <b/>
        <sz val="12"/>
        <rFont val="Times New Roman"/>
        <family val="1"/>
        <charset val="204"/>
      </rPr>
      <t>КРИТЕРИИ</t>
    </r>
    <r>
      <rPr>
        <sz val="12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</si>
  <si>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администрации муниципального образования  «Братский район»                                                                                                                                            О.А. Ширгородская</t>
  </si>
  <si>
    <t>Факт 
2021 г.</t>
  </si>
  <si>
    <t>Оценка 
2022 г.</t>
  </si>
  <si>
    <t>Прогноз на 2023-2025 гг.</t>
  </si>
  <si>
    <t>2025 г.</t>
  </si>
  <si>
    <t>Исполнитель: Начальник отдела экономическоко развития администрации муниципального образования  "Братский район" Лактионова М.А. 8 (3953) 41-69-92</t>
  </si>
  <si>
    <t>Топливные брикеты (Евродрова)из отходов деревопереработки,тонн</t>
  </si>
  <si>
    <t>т.</t>
  </si>
  <si>
    <t>Гранулы топливные (пеллеты) из отходов деревопереработки,тонн</t>
  </si>
  <si>
    <t>Оценка 2022 г.</t>
  </si>
  <si>
    <t>Строительство внутрихозяйственной оросительной системы площадью 120 га</t>
  </si>
  <si>
    <t>ИП "Поташов Николай Иванович"</t>
  </si>
  <si>
    <t>Всего за 2022-2025 гг., 
в т.ч. по годам:</t>
  </si>
  <si>
    <t xml:space="preserve">Сводный перечень инвестиционных проектов, реализация которых предполагается в 2022-2025 гг. 
</t>
  </si>
  <si>
    <t>Прогноз социально-экономического развития муниципального образования "Братский район" на 2022-2025 гг.</t>
  </si>
  <si>
    <t>Факт 
2021 года</t>
  </si>
  <si>
    <t>Оценка 
2022 года</t>
  </si>
  <si>
    <t>2025 год</t>
  </si>
  <si>
    <t>Администрации МО «Братский район»                                                                                                                                            О.А. Ширгородская</t>
  </si>
  <si>
    <t>Приложение 2 к прогнозу</t>
  </si>
  <si>
    <t>Приложение 3 к прогнозу</t>
  </si>
  <si>
    <t>Приложение 5 к прогнозу</t>
  </si>
  <si>
    <t>Приложение 6 к прогнозу</t>
  </si>
  <si>
    <t>Тангуйское сельское поселение, с. Алексанровка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</si>
</sst>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_ ;\-#,##0.00\ 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60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4"/>
      <color theme="1"/>
      <name val="Arial Cyr"/>
      <charset val="204"/>
    </font>
    <font>
      <b/>
      <sz val="14"/>
      <color theme="1"/>
      <name val="Arial Cyr"/>
      <family val="2"/>
      <charset val="204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0" borderId="41" applyNumberFormat="0" applyAlignment="0" applyProtection="0"/>
    <xf numFmtId="0" fontId="18" fillId="17" borderId="42" applyNumberFormat="0" applyAlignment="0" applyProtection="0"/>
    <xf numFmtId="0" fontId="19" fillId="17" borderId="41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0" fillId="0" borderId="43" applyNumberFormat="0" applyFill="0" applyAlignment="0" applyProtection="0"/>
    <xf numFmtId="0" fontId="21" fillId="0" borderId="44" applyNumberFormat="0" applyFill="0" applyAlignment="0" applyProtection="0"/>
    <xf numFmtId="0" fontId="22" fillId="0" borderId="4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46" applyNumberFormat="0" applyFill="0" applyAlignment="0" applyProtection="0"/>
    <xf numFmtId="0" fontId="24" fillId="18" borderId="47" applyNumberFormat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0" borderId="48" applyNumberFormat="0" applyFont="0" applyAlignment="0" applyProtection="0"/>
    <xf numFmtId="0" fontId="15" fillId="20" borderId="48" applyNumberFormat="0" applyFont="0" applyAlignment="0" applyProtection="0"/>
    <xf numFmtId="9" fontId="15" fillId="0" borderId="0" applyFont="0" applyFill="0" applyBorder="0" applyAlignment="0" applyProtection="0"/>
    <xf numFmtId="0" fontId="29" fillId="0" borderId="49" applyNumberFormat="0" applyFill="0" applyAlignment="0" applyProtection="0"/>
    <xf numFmtId="0" fontId="30" fillId="0" borderId="0" applyNumberForma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1" fillId="9" borderId="0" applyNumberFormat="0" applyBorder="0" applyAlignment="0" applyProtection="0"/>
  </cellStyleXfs>
  <cellXfs count="441">
    <xf numFmtId="0" fontId="0" fillId="0" borderId="0" xfId="0"/>
    <xf numFmtId="0" fontId="7" fillId="0" borderId="0" xfId="0" applyFont="1"/>
    <xf numFmtId="0" fontId="5" fillId="0" borderId="0" xfId="0" applyFont="1"/>
    <xf numFmtId="0" fontId="7" fillId="0" borderId="0" xfId="0" applyFont="1" applyFill="1"/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/>
    <xf numFmtId="166" fontId="11" fillId="6" borderId="3" xfId="1" applyNumberFormat="1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horizontal="center" vertical="center" wrapText="1"/>
    </xf>
    <xf numFmtId="166" fontId="11" fillId="6" borderId="28" xfId="1" applyNumberFormat="1" applyFont="1" applyFill="1" applyBorder="1" applyAlignment="1">
      <alignment horizontal="center" vertical="center" wrapText="1"/>
    </xf>
    <xf numFmtId="4" fontId="11" fillId="6" borderId="28" xfId="0" applyNumberFormat="1" applyFont="1" applyFill="1" applyBorder="1" applyAlignment="1">
      <alignment horizontal="center" vertical="center" wrapText="1"/>
    </xf>
    <xf numFmtId="4" fontId="11" fillId="6" borderId="24" xfId="0" applyNumberFormat="1" applyFont="1" applyFill="1" applyBorder="1" applyAlignment="1">
      <alignment horizontal="center" vertical="center" wrapText="1"/>
    </xf>
    <xf numFmtId="4" fontId="11" fillId="6" borderId="3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65" fontId="11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165" fontId="11" fillId="7" borderId="24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165" fontId="11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165" fontId="11" fillId="7" borderId="11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11" fillId="7" borderId="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1" fillId="0" borderId="24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165" fontId="11" fillId="2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6" borderId="14" xfId="0" applyNumberFormat="1" applyFont="1" applyFill="1" applyBorder="1" applyAlignment="1">
      <alignment horizontal="center" vertical="center" wrapText="1"/>
    </xf>
    <xf numFmtId="4" fontId="11" fillId="6" borderId="16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15" xfId="0" applyFont="1" applyBorder="1"/>
    <xf numFmtId="0" fontId="0" fillId="0" borderId="15" xfId="0" applyBorder="1"/>
    <xf numFmtId="0" fontId="32" fillId="0" borderId="0" xfId="0" applyFont="1"/>
    <xf numFmtId="0" fontId="35" fillId="0" borderId="0" xfId="0" applyFont="1" applyAlignment="1">
      <alignment horizontal="right" vertical="center" wrapText="1"/>
    </xf>
    <xf numFmtId="0" fontId="32" fillId="0" borderId="17" xfId="0" applyFont="1" applyBorder="1"/>
    <xf numFmtId="0" fontId="32" fillId="0" borderId="18" xfId="0" applyFont="1" applyBorder="1"/>
    <xf numFmtId="0" fontId="32" fillId="0" borderId="19" xfId="0" applyFont="1" applyBorder="1"/>
    <xf numFmtId="0" fontId="34" fillId="4" borderId="13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4" borderId="7" xfId="0" applyFont="1" applyFill="1" applyBorder="1" applyAlignment="1">
      <alignment vertical="center"/>
    </xf>
    <xf numFmtId="0" fontId="34" fillId="4" borderId="12" xfId="0" applyFont="1" applyFill="1" applyBorder="1" applyAlignment="1">
      <alignment vertical="center"/>
    </xf>
    <xf numFmtId="0" fontId="36" fillId="0" borderId="29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4" fontId="36" fillId="0" borderId="29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4" fontId="36" fillId="0" borderId="29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/>
    </xf>
    <xf numFmtId="4" fontId="36" fillId="0" borderId="3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7" fillId="0" borderId="27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vertical="center" wrapText="1"/>
    </xf>
    <xf numFmtId="4" fontId="37" fillId="0" borderId="27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center" vertical="center"/>
    </xf>
    <xf numFmtId="4" fontId="37" fillId="0" borderId="28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vertical="center" wrapText="1"/>
    </xf>
    <xf numFmtId="4" fontId="38" fillId="0" borderId="27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4" fontId="38" fillId="0" borderId="51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/>
    </xf>
    <xf numFmtId="4" fontId="38" fillId="0" borderId="26" xfId="0" applyNumberFormat="1" applyFont="1" applyFill="1" applyBorder="1" applyAlignment="1">
      <alignment horizontal="center" vertical="center"/>
    </xf>
    <xf numFmtId="4" fontId="38" fillId="0" borderId="28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4" fontId="36" fillId="0" borderId="3" xfId="0" applyNumberFormat="1" applyFont="1" applyFill="1" applyBorder="1" applyAlignment="1">
      <alignment horizontal="center" vertical="center"/>
    </xf>
    <xf numFmtId="4" fontId="36" fillId="0" borderId="3" xfId="0" applyNumberFormat="1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6" fillId="0" borderId="28" xfId="0" applyNumberFormat="1" applyFont="1" applyFill="1" applyBorder="1" applyAlignment="1">
      <alignment horizontal="center" vertical="center"/>
    </xf>
    <xf numFmtId="4" fontId="36" fillId="0" borderId="28" xfId="0" applyNumberFormat="1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/>
    <xf numFmtId="4" fontId="39" fillId="0" borderId="27" xfId="0" applyNumberFormat="1" applyFont="1" applyFill="1" applyBorder="1" applyAlignment="1">
      <alignment horizontal="center" vertical="center"/>
    </xf>
    <xf numFmtId="4" fontId="39" fillId="0" borderId="3" xfId="0" applyNumberFormat="1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6" fillId="0" borderId="26" xfId="0" applyFont="1" applyBorder="1" applyAlignment="1">
      <alignment vertical="center"/>
    </xf>
    <xf numFmtId="0" fontId="33" fillId="0" borderId="0" xfId="0" applyFont="1" applyFill="1"/>
    <xf numFmtId="0" fontId="38" fillId="0" borderId="27" xfId="0" applyFont="1" applyBorder="1" applyAlignment="1">
      <alignment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2" fontId="39" fillId="0" borderId="3" xfId="0" applyNumberFormat="1" applyFont="1" applyFill="1" applyBorder="1" applyAlignment="1">
      <alignment horizontal="center" vertical="center"/>
    </xf>
    <xf numFmtId="4" fontId="39" fillId="0" borderId="29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vertical="center"/>
    </xf>
    <xf numFmtId="0" fontId="38" fillId="0" borderId="27" xfId="0" applyFont="1" applyBorder="1"/>
    <xf numFmtId="0" fontId="39" fillId="0" borderId="26" xfId="0" applyFont="1" applyBorder="1" applyAlignment="1">
      <alignment vertical="center"/>
    </xf>
    <xf numFmtId="4" fontId="39" fillId="0" borderId="27" xfId="0" applyNumberFormat="1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wrapText="1"/>
    </xf>
    <xf numFmtId="0" fontId="36" fillId="0" borderId="26" xfId="0" applyFont="1" applyBorder="1" applyAlignment="1">
      <alignment horizontal="center" vertical="center"/>
    </xf>
    <xf numFmtId="0" fontId="36" fillId="0" borderId="33" xfId="0" applyFont="1" applyFill="1" applyBorder="1" applyAlignment="1">
      <alignment vertical="center" wrapText="1"/>
    </xf>
    <xf numFmtId="0" fontId="36" fillId="0" borderId="36" xfId="0" applyFont="1" applyBorder="1" applyAlignment="1">
      <alignment vertical="center"/>
    </xf>
    <xf numFmtId="4" fontId="36" fillId="0" borderId="33" xfId="0" applyNumberFormat="1" applyFont="1" applyFill="1" applyBorder="1" applyAlignment="1">
      <alignment horizontal="center" vertical="center"/>
    </xf>
    <xf numFmtId="4" fontId="36" fillId="0" borderId="24" xfId="0" applyNumberFormat="1" applyFont="1" applyFill="1" applyBorder="1" applyAlignment="1">
      <alignment horizontal="center" vertical="center"/>
    </xf>
    <xf numFmtId="4" fontId="36" fillId="0" borderId="36" xfId="0" applyNumberFormat="1" applyFont="1" applyFill="1" applyBorder="1" applyAlignment="1">
      <alignment horizontal="center" vertical="center"/>
    </xf>
    <xf numFmtId="4" fontId="36" fillId="0" borderId="24" xfId="0" applyNumberFormat="1" applyFont="1" applyFill="1" applyBorder="1" applyAlignment="1">
      <alignment horizontal="center" vertical="center" wrapText="1"/>
    </xf>
    <xf numFmtId="4" fontId="36" fillId="0" borderId="34" xfId="0" applyNumberFormat="1" applyFont="1" applyFill="1" applyBorder="1" applyAlignment="1">
      <alignment horizontal="center" vertical="center" wrapText="1"/>
    </xf>
    <xf numFmtId="4" fontId="36" fillId="0" borderId="37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Fill="1" applyBorder="1" applyAlignment="1">
      <alignment horizontal="center" vertical="center" wrapText="1"/>
    </xf>
    <xf numFmtId="4" fontId="36" fillId="0" borderId="50" xfId="0" applyNumberFormat="1" applyFont="1" applyFill="1" applyBorder="1" applyAlignment="1">
      <alignment horizontal="center" vertical="center" wrapText="1"/>
    </xf>
    <xf numFmtId="4" fontId="36" fillId="0" borderId="33" xfId="0" applyNumberFormat="1" applyFont="1" applyFill="1" applyBorder="1" applyAlignment="1">
      <alignment horizontal="center" vertical="center" wrapText="1"/>
    </xf>
    <xf numFmtId="0" fontId="36" fillId="0" borderId="9" xfId="0" applyFont="1" applyBorder="1"/>
    <xf numFmtId="0" fontId="36" fillId="0" borderId="5" xfId="0" applyFont="1" applyBorder="1" applyAlignment="1">
      <alignment vertical="center"/>
    </xf>
    <xf numFmtId="4" fontId="36" fillId="0" borderId="9" xfId="0" applyNumberFormat="1" applyFont="1" applyFill="1" applyBorder="1" applyAlignment="1">
      <alignment horizontal="center" vertical="center"/>
    </xf>
    <xf numFmtId="4" fontId="36" fillId="0" borderId="4" xfId="0" applyNumberFormat="1" applyFont="1" applyFill="1" applyBorder="1" applyAlignment="1">
      <alignment horizontal="center" vertical="center"/>
    </xf>
    <xf numFmtId="4" fontId="36" fillId="0" borderId="5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4" fontId="36" fillId="0" borderId="5" xfId="0" applyNumberFormat="1" applyFont="1" applyFill="1" applyBorder="1" applyAlignment="1">
      <alignment horizontal="center" vertical="center" wrapText="1"/>
    </xf>
    <xf numFmtId="4" fontId="36" fillId="0" borderId="9" xfId="0" applyNumberFormat="1" applyFont="1" applyFill="1" applyBorder="1" applyAlignment="1">
      <alignment horizontal="center" vertical="center" wrapText="1"/>
    </xf>
    <xf numFmtId="4" fontId="36" fillId="0" borderId="4" xfId="0" applyNumberFormat="1" applyFont="1" applyFill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3" fillId="0" borderId="15" xfId="0" applyFont="1" applyBorder="1"/>
    <xf numFmtId="0" fontId="36" fillId="5" borderId="12" xfId="0" applyFont="1" applyFill="1" applyBorder="1" applyAlignment="1">
      <alignment vertical="center" wrapText="1"/>
    </xf>
    <xf numFmtId="0" fontId="36" fillId="5" borderId="12" xfId="0" applyFont="1" applyFill="1" applyBorder="1" applyAlignment="1">
      <alignment vertical="center"/>
    </xf>
    <xf numFmtId="4" fontId="36" fillId="5" borderId="12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0" fontId="39" fillId="0" borderId="0" xfId="0" applyFont="1" applyAlignment="1">
      <alignment vertical="center"/>
    </xf>
    <xf numFmtId="0" fontId="39" fillId="0" borderId="0" xfId="0" applyFont="1"/>
    <xf numFmtId="0" fontId="11" fillId="0" borderId="2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6" fillId="0" borderId="27" xfId="0" applyFont="1" applyBorder="1" applyAlignment="1">
      <alignment vertical="center" wrapText="1"/>
    </xf>
    <xf numFmtId="4" fontId="11" fillId="6" borderId="3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3" fontId="11" fillId="0" borderId="28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4" fontId="11" fillId="6" borderId="35" xfId="0" applyNumberFormat="1" applyFont="1" applyFill="1" applyBorder="1" applyAlignment="1">
      <alignment horizontal="center" vertical="center" wrapText="1"/>
    </xf>
    <xf numFmtId="4" fontId="11" fillId="6" borderId="36" xfId="0" applyNumberFormat="1" applyFont="1" applyFill="1" applyBorder="1" applyAlignment="1">
      <alignment horizontal="center" vertical="center" wrapText="1"/>
    </xf>
    <xf numFmtId="4" fontId="11" fillId="6" borderId="4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4" fontId="37" fillId="6" borderId="3" xfId="0" applyNumberFormat="1" applyFont="1" applyFill="1" applyBorder="1" applyAlignment="1">
      <alignment horizontal="center" vertical="center"/>
    </xf>
    <xf numFmtId="4" fontId="36" fillId="6" borderId="3" xfId="0" applyNumberFormat="1" applyFont="1" applyFill="1" applyBorder="1" applyAlignment="1">
      <alignment horizontal="center" vertical="center"/>
    </xf>
    <xf numFmtId="4" fontId="36" fillId="0" borderId="53" xfId="0" applyNumberFormat="1" applyFont="1" applyFill="1" applyBorder="1" applyAlignment="1">
      <alignment horizontal="center" vertical="center" wrapText="1"/>
    </xf>
    <xf numFmtId="4" fontId="37" fillId="0" borderId="54" xfId="0" applyNumberFormat="1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 wrapText="1"/>
    </xf>
    <xf numFmtId="4" fontId="38" fillId="0" borderId="54" xfId="0" applyNumberFormat="1" applyFont="1" applyFill="1" applyBorder="1" applyAlignment="1">
      <alignment horizontal="center" vertical="center"/>
    </xf>
    <xf numFmtId="4" fontId="36" fillId="0" borderId="54" xfId="0" applyNumberFormat="1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/>
    </xf>
    <xf numFmtId="4" fontId="36" fillId="0" borderId="55" xfId="0" applyNumberFormat="1" applyFont="1" applyFill="1" applyBorder="1" applyAlignment="1">
      <alignment horizontal="center" vertical="center"/>
    </xf>
    <xf numFmtId="4" fontId="36" fillId="0" borderId="56" xfId="0" applyNumberFormat="1" applyFont="1" applyFill="1" applyBorder="1" applyAlignment="1">
      <alignment horizontal="center" vertical="center"/>
    </xf>
    <xf numFmtId="4" fontId="36" fillId="5" borderId="57" xfId="0" applyNumberFormat="1" applyFont="1" applyFill="1" applyBorder="1" applyAlignment="1">
      <alignment horizontal="center" vertical="center"/>
    </xf>
    <xf numFmtId="4" fontId="36" fillId="5" borderId="58" xfId="0" applyNumberFormat="1" applyFont="1" applyFill="1" applyBorder="1" applyAlignment="1">
      <alignment horizontal="center" vertical="center"/>
    </xf>
    <xf numFmtId="4" fontId="36" fillId="0" borderId="59" xfId="0" applyNumberFormat="1" applyFont="1" applyFill="1" applyBorder="1" applyAlignment="1">
      <alignment horizontal="center" vertical="center" wrapText="1"/>
    </xf>
    <xf numFmtId="4" fontId="36" fillId="6" borderId="30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4" fontId="37" fillId="6" borderId="28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6" borderId="28" xfId="0" applyFont="1" applyFill="1" applyBorder="1" applyAlignment="1">
      <alignment horizontal="center" vertical="center" wrapText="1"/>
    </xf>
    <xf numFmtId="4" fontId="38" fillId="6" borderId="28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6" borderId="28" xfId="0" applyNumberFormat="1" applyFont="1" applyFill="1" applyBorder="1" applyAlignment="1">
      <alignment horizontal="center" vertical="center" wrapText="1"/>
    </xf>
    <xf numFmtId="4" fontId="36" fillId="0" borderId="23" xfId="0" applyNumberFormat="1" applyFont="1" applyFill="1" applyBorder="1" applyAlignment="1">
      <alignment horizontal="center" vertical="center" wrapText="1"/>
    </xf>
    <xf numFmtId="4" fontId="36" fillId="6" borderId="28" xfId="0" applyNumberFormat="1" applyFont="1" applyFill="1" applyBorder="1" applyAlignment="1">
      <alignment horizontal="center" vertical="center" wrapText="1"/>
    </xf>
    <xf numFmtId="4" fontId="36" fillId="0" borderId="23" xfId="0" applyNumberFormat="1" applyFont="1" applyFill="1" applyBorder="1" applyAlignment="1">
      <alignment horizontal="center" vertical="center"/>
    </xf>
    <xf numFmtId="4" fontId="36" fillId="6" borderId="28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 wrapText="1"/>
    </xf>
    <xf numFmtId="0" fontId="39" fillId="6" borderId="28" xfId="0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center" vertical="center" wrapText="1"/>
    </xf>
    <xf numFmtId="4" fontId="39" fillId="6" borderId="28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/>
    </xf>
    <xf numFmtId="0" fontId="39" fillId="6" borderId="28" xfId="0" applyFont="1" applyFill="1" applyBorder="1" applyAlignment="1">
      <alignment horizontal="center" vertical="center"/>
    </xf>
    <xf numFmtId="2" fontId="39" fillId="6" borderId="28" xfId="0" applyNumberFormat="1" applyFont="1" applyFill="1" applyBorder="1" applyAlignment="1">
      <alignment horizontal="center" vertical="center"/>
    </xf>
    <xf numFmtId="4" fontId="36" fillId="0" borderId="35" xfId="0" applyNumberFormat="1" applyFont="1" applyFill="1" applyBorder="1" applyAlignment="1">
      <alignment horizontal="center" vertical="center" wrapText="1"/>
    </xf>
    <xf numFmtId="4" fontId="36" fillId="6" borderId="34" xfId="0" applyNumberFormat="1" applyFont="1" applyFill="1" applyBorder="1" applyAlignment="1">
      <alignment horizontal="center" vertical="center" wrapText="1"/>
    </xf>
    <xf numFmtId="4" fontId="36" fillId="6" borderId="16" xfId="0" applyNumberFormat="1" applyFont="1" applyFill="1" applyBorder="1" applyAlignment="1">
      <alignment horizontal="center" vertical="center" wrapText="1"/>
    </xf>
    <xf numFmtId="4" fontId="36" fillId="5" borderId="21" xfId="0" applyNumberFormat="1" applyFont="1" applyFill="1" applyBorder="1" applyAlignment="1">
      <alignment horizontal="center" vertical="center"/>
    </xf>
    <xf numFmtId="0" fontId="32" fillId="6" borderId="19" xfId="0" applyFont="1" applyFill="1" applyBorder="1"/>
    <xf numFmtId="0" fontId="39" fillId="4" borderId="64" xfId="0" applyFont="1" applyFill="1" applyBorder="1" applyAlignment="1">
      <alignment horizontal="center" vertical="center" wrapText="1"/>
    </xf>
    <xf numFmtId="4" fontId="36" fillId="0" borderId="66" xfId="0" applyNumberFormat="1" applyFont="1" applyFill="1" applyBorder="1" applyAlignment="1">
      <alignment horizontal="center" vertical="center" wrapText="1"/>
    </xf>
    <xf numFmtId="4" fontId="37" fillId="0" borderId="67" xfId="0" applyNumberFormat="1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 wrapText="1"/>
    </xf>
    <xf numFmtId="4" fontId="38" fillId="0" borderId="67" xfId="0" applyNumberFormat="1" applyFont="1" applyFill="1" applyBorder="1" applyAlignment="1">
      <alignment horizontal="center" vertical="center"/>
    </xf>
    <xf numFmtId="4" fontId="36" fillId="0" borderId="67" xfId="0" applyNumberFormat="1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 wrapText="1"/>
    </xf>
    <xf numFmtId="4" fontId="39" fillId="0" borderId="67" xfId="0" applyNumberFormat="1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4" fontId="36" fillId="0" borderId="68" xfId="0" applyNumberFormat="1" applyFont="1" applyFill="1" applyBorder="1" applyAlignment="1">
      <alignment horizontal="center" vertical="center"/>
    </xf>
    <xf numFmtId="4" fontId="36" fillId="0" borderId="69" xfId="0" applyNumberFormat="1" applyFont="1" applyFill="1" applyBorder="1" applyAlignment="1">
      <alignment horizontal="center" vertical="center"/>
    </xf>
    <xf numFmtId="4" fontId="36" fillId="5" borderId="70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" fontId="11" fillId="7" borderId="3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5" fontId="11" fillId="2" borderId="28" xfId="0" applyNumberFormat="1" applyFont="1" applyFill="1" applyBorder="1" applyAlignment="1">
      <alignment horizontal="center" vertical="center" wrapText="1"/>
    </xf>
    <xf numFmtId="165" fontId="11" fillId="2" borderId="24" xfId="0" applyNumberFormat="1" applyFont="1" applyFill="1" applyBorder="1" applyAlignment="1">
      <alignment horizontal="center" vertical="center" wrapText="1"/>
    </xf>
    <xf numFmtId="165" fontId="11" fillId="2" borderId="3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6" fillId="0" borderId="23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4" fontId="39" fillId="0" borderId="0" xfId="0" applyNumberFormat="1" applyFont="1"/>
    <xf numFmtId="0" fontId="1" fillId="0" borderId="0" xfId="0" applyFont="1"/>
    <xf numFmtId="4" fontId="11" fillId="0" borderId="3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3" fillId="0" borderId="0" xfId="0" applyFont="1"/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4" fontId="43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4" fontId="48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center" vertical="center"/>
    </xf>
    <xf numFmtId="4" fontId="51" fillId="0" borderId="1" xfId="0" applyNumberFormat="1" applyFont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1" fillId="6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left" vertical="center" wrapText="1"/>
    </xf>
    <xf numFmtId="49" fontId="52" fillId="0" borderId="1" xfId="0" applyNumberFormat="1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  <xf numFmtId="4" fontId="42" fillId="6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53" fillId="6" borderId="1" xfId="0" applyFont="1" applyFill="1" applyBorder="1" applyAlignment="1">
      <alignment horizontal="left" vertical="center" wrapText="1"/>
    </xf>
    <xf numFmtId="0" fontId="55" fillId="6" borderId="1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wrapText="1"/>
    </xf>
    <xf numFmtId="0" fontId="51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 wrapText="1"/>
    </xf>
    <xf numFmtId="0" fontId="43" fillId="0" borderId="0" xfId="0" applyFont="1" applyBorder="1"/>
    <xf numFmtId="4" fontId="51" fillId="0" borderId="3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 wrapText="1"/>
    </xf>
    <xf numFmtId="0" fontId="50" fillId="0" borderId="1" xfId="0" applyFont="1" applyFill="1" applyBorder="1" applyAlignment="1">
      <alignment horizontal="left" wrapText="1"/>
    </xf>
    <xf numFmtId="0" fontId="49" fillId="6" borderId="1" xfId="0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center" vertical="center"/>
    </xf>
    <xf numFmtId="4" fontId="51" fillId="6" borderId="1" xfId="0" applyNumberFormat="1" applyFont="1" applyFill="1" applyBorder="1" applyAlignment="1">
      <alignment horizontal="center" vertical="center" wrapText="1"/>
    </xf>
    <xf numFmtId="4" fontId="42" fillId="6" borderId="1" xfId="29" applyNumberFormat="1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4" fontId="48" fillId="0" borderId="1" xfId="0" applyNumberFormat="1" applyFont="1" applyFill="1" applyBorder="1" applyAlignment="1">
      <alignment horizontal="center" vertical="center" wrapText="1"/>
    </xf>
    <xf numFmtId="165" fontId="44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165" fontId="44" fillId="6" borderId="1" xfId="0" applyNumberFormat="1" applyFont="1" applyFill="1" applyBorder="1" applyAlignment="1">
      <alignment horizontal="center" vertical="center" wrapText="1"/>
    </xf>
    <xf numFmtId="0" fontId="43" fillId="0" borderId="6" xfId="0" applyFont="1" applyBorder="1"/>
    <xf numFmtId="0" fontId="42" fillId="0" borderId="0" xfId="0" applyFont="1" applyAlignment="1">
      <alignment vertical="center"/>
    </xf>
    <xf numFmtId="0" fontId="59" fillId="0" borderId="0" xfId="0" applyFont="1"/>
    <xf numFmtId="0" fontId="48" fillId="4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 wrapText="1"/>
    </xf>
    <xf numFmtId="0" fontId="39" fillId="4" borderId="64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39" fillId="4" borderId="63" xfId="0" applyFont="1" applyFill="1" applyBorder="1" applyAlignment="1">
      <alignment horizontal="center" vertical="center" wrapText="1"/>
    </xf>
    <xf numFmtId="0" fontId="39" fillId="4" borderId="65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right" vertical="center" wrapText="1"/>
    </xf>
    <xf numFmtId="0" fontId="32" fillId="0" borderId="0" xfId="0" applyFont="1" applyAlignment="1"/>
    <xf numFmtId="0" fontId="36" fillId="4" borderId="1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/>
    </xf>
    <xf numFmtId="0" fontId="36" fillId="4" borderId="16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 wrapText="1"/>
    </xf>
    <xf numFmtId="0" fontId="39" fillId="4" borderId="60" xfId="0" applyFont="1" applyFill="1" applyBorder="1" applyAlignment="1">
      <alignment horizontal="center" vertical="center" wrapText="1"/>
    </xf>
    <xf numFmtId="0" fontId="39" fillId="4" borderId="61" xfId="0" applyFont="1" applyFill="1" applyBorder="1" applyAlignment="1">
      <alignment horizontal="center" vertical="center" wrapText="1"/>
    </xf>
    <xf numFmtId="0" fontId="39" fillId="4" borderId="62" xfId="0" applyFont="1" applyFill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11" fillId="5" borderId="19" xfId="0" applyFont="1" applyFill="1" applyBorder="1" applyAlignment="1"/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/>
    <xf numFmtId="0" fontId="11" fillId="4" borderId="1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1" fillId="4" borderId="2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2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Денежный 2" xfId="13"/>
    <cellStyle name="Денежный 3" xfId="12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Плохой 2" xfId="22"/>
    <cellStyle name="Пояснение 2" xfId="23"/>
    <cellStyle name="Примечание 2" xfId="25"/>
    <cellStyle name="Примечание 3" xfId="24"/>
    <cellStyle name="Процентный 2" xfId="26"/>
    <cellStyle name="Связанная ячейка 2" xfId="27"/>
    <cellStyle name="Текст предупреждения 2" xfId="28"/>
    <cellStyle name="Финансовый" xfId="1" builtinId="3"/>
    <cellStyle name="Финансовый 2" xfId="2"/>
    <cellStyle name="Финансовый 2 2" xfId="30"/>
    <cellStyle name="Финансовый 3" xfId="29"/>
    <cellStyle name="Хороший 2" xfId="31"/>
  </cellStyles>
  <dxfs count="0"/>
  <tableStyles count="0" defaultTableStyle="TableStyleMedium9" defaultPivotStyle="PivotStyleLight16"/>
  <colors>
    <mruColors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R166"/>
  <sheetViews>
    <sheetView tabSelected="1" zoomScaleNormal="100" workbookViewId="0">
      <pane xSplit="1" ySplit="8" topLeftCell="B49" activePane="bottomRight" state="frozen"/>
      <selection pane="topRight" activeCell="B1" sqref="B1"/>
      <selection pane="bottomLeft" activeCell="A9" sqref="A9"/>
      <selection pane="bottomRight" activeCell="D52" sqref="D52"/>
    </sheetView>
  </sheetViews>
  <sheetFormatPr defaultRowHeight="12.75" x14ac:dyDescent="0.2"/>
  <cols>
    <col min="1" max="1" width="50" style="300" customWidth="1"/>
    <col min="2" max="2" width="15.85546875" style="300" customWidth="1"/>
    <col min="3" max="3" width="14.7109375" style="300" customWidth="1"/>
    <col min="4" max="4" width="16" style="300" customWidth="1"/>
    <col min="5" max="5" width="15.85546875" style="300" customWidth="1"/>
    <col min="6" max="6" width="16.5703125" style="300" customWidth="1"/>
    <col min="7" max="7" width="15.5703125" style="300" customWidth="1"/>
    <col min="8" max="8" width="16.5703125" style="300" customWidth="1"/>
    <col min="9" max="9" width="16.7109375" style="300" customWidth="1"/>
    <col min="10" max="10" width="10.85546875" style="300" bestFit="1" customWidth="1"/>
    <col min="11" max="11" width="11.28515625" style="300" bestFit="1" customWidth="1"/>
    <col min="12" max="12" width="12.140625" style="300" bestFit="1" customWidth="1"/>
    <col min="13" max="16384" width="9.140625" style="300"/>
  </cols>
  <sheetData>
    <row r="1" spans="1:9" ht="20.25" customHeight="1" x14ac:dyDescent="0.2">
      <c r="A1" s="299"/>
      <c r="B1" s="299"/>
      <c r="C1" s="299"/>
      <c r="D1" s="299"/>
      <c r="E1" s="299"/>
      <c r="F1" s="299"/>
      <c r="G1" s="299"/>
      <c r="H1" s="367" t="s">
        <v>61</v>
      </c>
      <c r="I1" s="367"/>
    </row>
    <row r="2" spans="1:9" ht="25.5" customHeight="1" x14ac:dyDescent="0.2">
      <c r="A2" s="301"/>
      <c r="B2" s="302"/>
      <c r="C2" s="303"/>
      <c r="D2" s="301"/>
      <c r="E2" s="304"/>
      <c r="F2" s="304"/>
      <c r="G2" s="304"/>
    </row>
    <row r="3" spans="1:9" ht="20.25" x14ac:dyDescent="0.2">
      <c r="A3" s="368" t="s">
        <v>275</v>
      </c>
      <c r="B3" s="368"/>
      <c r="C3" s="368"/>
      <c r="D3" s="368"/>
      <c r="E3" s="368"/>
      <c r="F3" s="368"/>
      <c r="G3" s="368"/>
      <c r="H3" s="368"/>
      <c r="I3" s="368"/>
    </row>
    <row r="4" spans="1:9" ht="13.5" customHeight="1" x14ac:dyDescent="0.2">
      <c r="A4" s="305"/>
      <c r="B4" s="305"/>
      <c r="C4" s="305"/>
      <c r="D4" s="305"/>
      <c r="E4" s="305"/>
      <c r="F4" s="305"/>
      <c r="G4" s="305"/>
    </row>
    <row r="5" spans="1:9" ht="18.75" x14ac:dyDescent="0.2">
      <c r="A5" s="369" t="s">
        <v>8</v>
      </c>
      <c r="B5" s="370" t="s">
        <v>9</v>
      </c>
      <c r="C5" s="369" t="s">
        <v>251</v>
      </c>
      <c r="D5" s="369" t="s">
        <v>276</v>
      </c>
      <c r="E5" s="369" t="s">
        <v>277</v>
      </c>
      <c r="F5" s="369" t="s">
        <v>62</v>
      </c>
      <c r="G5" s="369"/>
      <c r="H5" s="369"/>
      <c r="I5" s="369"/>
    </row>
    <row r="6" spans="1:9" ht="18.75" x14ac:dyDescent="0.2">
      <c r="A6" s="369"/>
      <c r="B6" s="370"/>
      <c r="C6" s="369"/>
      <c r="D6" s="369"/>
      <c r="E6" s="369"/>
      <c r="F6" s="369" t="s">
        <v>240</v>
      </c>
      <c r="G6" s="369"/>
      <c r="H6" s="369" t="s">
        <v>252</v>
      </c>
      <c r="I6" s="369" t="s">
        <v>278</v>
      </c>
    </row>
    <row r="7" spans="1:9" ht="18.75" x14ac:dyDescent="0.2">
      <c r="A7" s="369"/>
      <c r="B7" s="370"/>
      <c r="C7" s="369"/>
      <c r="D7" s="369"/>
      <c r="E7" s="369"/>
      <c r="F7" s="306" t="s">
        <v>56</v>
      </c>
      <c r="G7" s="306" t="s">
        <v>5</v>
      </c>
      <c r="H7" s="369"/>
      <c r="I7" s="369"/>
    </row>
    <row r="8" spans="1:9" ht="18.75" x14ac:dyDescent="0.2">
      <c r="A8" s="366" t="s">
        <v>10</v>
      </c>
      <c r="B8" s="366"/>
      <c r="C8" s="366"/>
      <c r="D8" s="366"/>
      <c r="E8" s="366"/>
      <c r="F8" s="366"/>
      <c r="G8" s="366"/>
      <c r="H8" s="366"/>
      <c r="I8" s="366"/>
    </row>
    <row r="9" spans="1:9" ht="58.5" x14ac:dyDescent="0.2">
      <c r="A9" s="307" t="s">
        <v>80</v>
      </c>
      <c r="B9" s="308" t="s">
        <v>11</v>
      </c>
      <c r="C9" s="309">
        <f>C11+C14+C15+C16+C17+C18+C19+C20</f>
        <v>14378.05</v>
      </c>
      <c r="D9" s="309">
        <f>D12+D13+D14+D15+D16+D17+D18+D19+D20</f>
        <v>16438.394</v>
      </c>
      <c r="E9" s="309">
        <f t="shared" ref="E9:I9" si="0">E12+E13+E14+E15+E16+E17+E18+E19+E20</f>
        <v>18114.801999999996</v>
      </c>
      <c r="F9" s="309">
        <f t="shared" si="0"/>
        <v>19156.29</v>
      </c>
      <c r="G9" s="309">
        <f t="shared" si="0"/>
        <v>19156.29</v>
      </c>
      <c r="H9" s="309">
        <f t="shared" si="0"/>
        <v>19880.16</v>
      </c>
      <c r="I9" s="309">
        <f t="shared" si="0"/>
        <v>20560.400000000001</v>
      </c>
    </row>
    <row r="10" spans="1:9" ht="37.5" x14ac:dyDescent="0.2">
      <c r="A10" s="310" t="s">
        <v>12</v>
      </c>
      <c r="B10" s="311"/>
      <c r="C10" s="312"/>
      <c r="D10" s="312"/>
      <c r="E10" s="312"/>
      <c r="F10" s="312"/>
      <c r="G10" s="312"/>
      <c r="H10" s="312"/>
      <c r="I10" s="312"/>
    </row>
    <row r="11" spans="1:9" ht="33.75" customHeight="1" x14ac:dyDescent="0.2">
      <c r="A11" s="313" t="s">
        <v>139</v>
      </c>
      <c r="B11" s="311" t="s">
        <v>11</v>
      </c>
      <c r="C11" s="312">
        <f>C12+C13</f>
        <v>4587.2699999999995</v>
      </c>
      <c r="D11" s="312">
        <f t="shared" ref="D11:E11" si="1">D12+D13</f>
        <v>5218.92</v>
      </c>
      <c r="E11" s="312">
        <f t="shared" si="1"/>
        <v>5404.63</v>
      </c>
      <c r="F11" s="312">
        <f t="shared" ref="F11:I11" si="2">F12+F13</f>
        <v>5718.0599999999995</v>
      </c>
      <c r="G11" s="312">
        <f t="shared" si="2"/>
        <v>5718.0599999999995</v>
      </c>
      <c r="H11" s="312">
        <f t="shared" si="2"/>
        <v>5935.3799999999992</v>
      </c>
      <c r="I11" s="312">
        <f t="shared" si="2"/>
        <v>6137.16</v>
      </c>
    </row>
    <row r="12" spans="1:9" ht="56.25" x14ac:dyDescent="0.2">
      <c r="A12" s="314" t="s">
        <v>140</v>
      </c>
      <c r="B12" s="311" t="s">
        <v>11</v>
      </c>
      <c r="C12" s="312">
        <v>958.3</v>
      </c>
      <c r="D12" s="312">
        <v>695.87</v>
      </c>
      <c r="E12" s="312">
        <v>811.38</v>
      </c>
      <c r="F12" s="312">
        <v>858.4</v>
      </c>
      <c r="G12" s="312">
        <v>858.4</v>
      </c>
      <c r="H12" s="312">
        <v>891.06</v>
      </c>
      <c r="I12" s="312">
        <v>921.36</v>
      </c>
    </row>
    <row r="13" spans="1:9" ht="18.75" x14ac:dyDescent="0.2">
      <c r="A13" s="315" t="s">
        <v>141</v>
      </c>
      <c r="B13" s="311" t="s">
        <v>11</v>
      </c>
      <c r="C13" s="312">
        <v>3628.97</v>
      </c>
      <c r="D13" s="312">
        <v>4523.05</v>
      </c>
      <c r="E13" s="312">
        <v>4593.25</v>
      </c>
      <c r="F13" s="312">
        <v>4859.66</v>
      </c>
      <c r="G13" s="312">
        <v>4859.66</v>
      </c>
      <c r="H13" s="312">
        <v>5044.32</v>
      </c>
      <c r="I13" s="312">
        <v>5215.8</v>
      </c>
    </row>
    <row r="14" spans="1:9" ht="18.75" x14ac:dyDescent="0.2">
      <c r="A14" s="315" t="s">
        <v>46</v>
      </c>
      <c r="B14" s="311" t="s">
        <v>11</v>
      </c>
      <c r="C14" s="312">
        <v>1918</v>
      </c>
      <c r="D14" s="312">
        <v>1799.2</v>
      </c>
      <c r="E14" s="312">
        <v>2097.87</v>
      </c>
      <c r="F14" s="312">
        <v>2219.6</v>
      </c>
      <c r="G14" s="312">
        <v>2219.6</v>
      </c>
      <c r="H14" s="312">
        <v>2303.89</v>
      </c>
      <c r="I14" s="312">
        <v>2382.2199999999998</v>
      </c>
    </row>
    <row r="15" spans="1:9" ht="56.25" x14ac:dyDescent="0.2">
      <c r="A15" s="314" t="s">
        <v>142</v>
      </c>
      <c r="B15" s="311" t="s">
        <v>11</v>
      </c>
      <c r="C15" s="312">
        <v>371.28</v>
      </c>
      <c r="D15" s="312">
        <v>493.46</v>
      </c>
      <c r="E15" s="312">
        <v>518.80999999999995</v>
      </c>
      <c r="F15" s="312">
        <v>543.70000000000005</v>
      </c>
      <c r="G15" s="312">
        <v>543.70000000000005</v>
      </c>
      <c r="H15" s="312">
        <v>564.96</v>
      </c>
      <c r="I15" s="312">
        <v>586.04999999999995</v>
      </c>
    </row>
    <row r="16" spans="1:9" ht="53.25" customHeight="1" x14ac:dyDescent="0.2">
      <c r="A16" s="313" t="s">
        <v>143</v>
      </c>
      <c r="B16" s="311" t="s">
        <v>11</v>
      </c>
      <c r="C16" s="312">
        <v>76.680000000000007</v>
      </c>
      <c r="D16" s="312">
        <v>20.564</v>
      </c>
      <c r="E16" s="312">
        <v>21.591999999999999</v>
      </c>
      <c r="F16" s="312">
        <v>22.8</v>
      </c>
      <c r="G16" s="312">
        <v>22.8</v>
      </c>
      <c r="H16" s="312">
        <v>23.7</v>
      </c>
      <c r="I16" s="312">
        <v>24.5</v>
      </c>
    </row>
    <row r="17" spans="1:9" ht="18" customHeight="1" x14ac:dyDescent="0.2">
      <c r="A17" s="315" t="s">
        <v>17</v>
      </c>
      <c r="B17" s="311" t="s">
        <v>11</v>
      </c>
      <c r="C17" s="312">
        <v>1492.59</v>
      </c>
      <c r="D17" s="312">
        <v>2381.8000000000002</v>
      </c>
      <c r="E17" s="312">
        <v>2776.06</v>
      </c>
      <c r="F17" s="312">
        <v>2937.07</v>
      </c>
      <c r="G17" s="312">
        <v>2937.07</v>
      </c>
      <c r="H17" s="312">
        <v>3048.68</v>
      </c>
      <c r="I17" s="312">
        <v>3152.3</v>
      </c>
    </row>
    <row r="18" spans="1:9" ht="41.25" customHeight="1" x14ac:dyDescent="0.2">
      <c r="A18" s="313" t="s">
        <v>144</v>
      </c>
      <c r="B18" s="311" t="s">
        <v>11</v>
      </c>
      <c r="C18" s="312">
        <v>2920.53</v>
      </c>
      <c r="D18" s="312">
        <v>3028.95</v>
      </c>
      <c r="E18" s="312">
        <v>3497.58</v>
      </c>
      <c r="F18" s="312">
        <v>3692.76</v>
      </c>
      <c r="G18" s="312">
        <v>3692.76</v>
      </c>
      <c r="H18" s="312">
        <v>3825.77</v>
      </c>
      <c r="I18" s="312">
        <v>3950.15</v>
      </c>
    </row>
    <row r="19" spans="1:9" ht="19.5" customHeight="1" x14ac:dyDescent="0.2">
      <c r="A19" s="316" t="s">
        <v>171</v>
      </c>
      <c r="B19" s="311" t="s">
        <v>11</v>
      </c>
      <c r="C19" s="312">
        <v>1670.3</v>
      </c>
      <c r="D19" s="312">
        <v>1914.7</v>
      </c>
      <c r="E19" s="312">
        <v>2103.59</v>
      </c>
      <c r="F19" s="312">
        <v>2229.3000000000002</v>
      </c>
      <c r="G19" s="312">
        <v>2229.3000000000002</v>
      </c>
      <c r="H19" s="312">
        <v>2316.66</v>
      </c>
      <c r="I19" s="312">
        <v>2403.5700000000002</v>
      </c>
    </row>
    <row r="20" spans="1:9" ht="18.75" x14ac:dyDescent="0.2">
      <c r="A20" s="315" t="s">
        <v>51</v>
      </c>
      <c r="B20" s="311" t="s">
        <v>11</v>
      </c>
      <c r="C20" s="312">
        <v>1341.4</v>
      </c>
      <c r="D20" s="312">
        <v>1580.8</v>
      </c>
      <c r="E20" s="312">
        <v>1694.67</v>
      </c>
      <c r="F20" s="312">
        <f>19156.3-17363.3</f>
        <v>1793</v>
      </c>
      <c r="G20" s="312">
        <v>1793</v>
      </c>
      <c r="H20" s="312">
        <v>1861.12</v>
      </c>
      <c r="I20" s="312">
        <v>1924.45</v>
      </c>
    </row>
    <row r="21" spans="1:9" ht="78" x14ac:dyDescent="0.2">
      <c r="A21" s="307" t="s">
        <v>81</v>
      </c>
      <c r="B21" s="311" t="s">
        <v>11</v>
      </c>
      <c r="C21" s="312">
        <v>3341.3</v>
      </c>
      <c r="D21" s="312">
        <v>3341.3</v>
      </c>
      <c r="E21" s="312">
        <v>3895.9</v>
      </c>
      <c r="F21" s="312">
        <v>4121.8999999999996</v>
      </c>
      <c r="G21" s="312">
        <v>4121.8999999999996</v>
      </c>
      <c r="H21" s="312">
        <v>4278.5</v>
      </c>
      <c r="I21" s="312">
        <v>4424.01</v>
      </c>
    </row>
    <row r="22" spans="1:9" ht="39.75" customHeight="1" x14ac:dyDescent="0.2">
      <c r="A22" s="317" t="s">
        <v>97</v>
      </c>
      <c r="B22" s="311" t="s">
        <v>11</v>
      </c>
      <c r="C22" s="312">
        <v>272.2</v>
      </c>
      <c r="D22" s="312">
        <v>337.2</v>
      </c>
      <c r="E22" s="312">
        <v>30.6</v>
      </c>
      <c r="F22" s="312">
        <v>176.02</v>
      </c>
      <c r="G22" s="312">
        <v>176.02</v>
      </c>
      <c r="H22" s="312">
        <v>182.5</v>
      </c>
      <c r="I22" s="312">
        <v>188.7</v>
      </c>
    </row>
    <row r="23" spans="1:9" ht="18.75" x14ac:dyDescent="0.2">
      <c r="A23" s="366" t="s">
        <v>15</v>
      </c>
      <c r="B23" s="366"/>
      <c r="C23" s="366"/>
      <c r="D23" s="366"/>
      <c r="E23" s="366"/>
      <c r="F23" s="366"/>
      <c r="G23" s="366"/>
      <c r="H23" s="366"/>
      <c r="I23" s="366"/>
    </row>
    <row r="24" spans="1:9" ht="18.75" x14ac:dyDescent="0.2">
      <c r="A24" s="318" t="s">
        <v>64</v>
      </c>
      <c r="B24" s="319"/>
      <c r="C24" s="320"/>
      <c r="D24" s="320"/>
      <c r="E24" s="320"/>
      <c r="F24" s="320"/>
      <c r="G24" s="320"/>
      <c r="H24" s="320"/>
      <c r="I24" s="320"/>
    </row>
    <row r="25" spans="1:9" ht="75" x14ac:dyDescent="0.2">
      <c r="A25" s="321" t="s">
        <v>189</v>
      </c>
      <c r="B25" s="322" t="s">
        <v>11</v>
      </c>
      <c r="C25" s="320">
        <f>C32+C35+C38</f>
        <v>2264.0657935505492</v>
      </c>
      <c r="D25" s="320">
        <f t="shared" ref="D25:I25" si="3">D32+D35+D38</f>
        <v>2127.5141117316184</v>
      </c>
      <c r="E25" s="320">
        <f t="shared" si="3"/>
        <v>2431.6629553961407</v>
      </c>
      <c r="F25" s="320">
        <f t="shared" si="3"/>
        <v>2568.4176190202797</v>
      </c>
      <c r="G25" s="320">
        <f t="shared" si="3"/>
        <v>2568.4176190202797</v>
      </c>
      <c r="H25" s="320">
        <f t="shared" si="3"/>
        <v>2666.4934929733317</v>
      </c>
      <c r="I25" s="320">
        <f t="shared" si="3"/>
        <v>2758.6974578509457</v>
      </c>
    </row>
    <row r="26" spans="1:9" ht="34.5" customHeight="1" x14ac:dyDescent="0.2">
      <c r="A26" s="321" t="s">
        <v>66</v>
      </c>
      <c r="B26" s="319" t="s">
        <v>13</v>
      </c>
      <c r="C26" s="323">
        <v>93.8</v>
      </c>
      <c r="D26" s="323">
        <v>73.8</v>
      </c>
      <c r="E26" s="323">
        <v>100</v>
      </c>
      <c r="F26" s="323">
        <v>101.3</v>
      </c>
      <c r="G26" s="323">
        <v>101.3</v>
      </c>
      <c r="H26" s="323">
        <v>100</v>
      </c>
      <c r="I26" s="323">
        <v>100</v>
      </c>
    </row>
    <row r="27" spans="1:9" ht="18.75" x14ac:dyDescent="0.2">
      <c r="A27" s="324" t="s">
        <v>28</v>
      </c>
      <c r="B27" s="322"/>
      <c r="C27" s="320"/>
      <c r="D27" s="320"/>
      <c r="E27" s="320"/>
      <c r="F27" s="320"/>
      <c r="G27" s="320"/>
      <c r="H27" s="320"/>
      <c r="I27" s="320"/>
    </row>
    <row r="28" spans="1:9" ht="18.75" hidden="1" x14ac:dyDescent="0.2">
      <c r="A28" s="318" t="s">
        <v>145</v>
      </c>
      <c r="B28" s="322"/>
      <c r="C28" s="323"/>
      <c r="D28" s="323"/>
      <c r="E28" s="323"/>
      <c r="F28" s="323"/>
      <c r="G28" s="325"/>
      <c r="H28" s="323"/>
      <c r="I28" s="325"/>
    </row>
    <row r="29" spans="1:9" ht="56.25" hidden="1" x14ac:dyDescent="0.2">
      <c r="A29" s="326" t="s">
        <v>146</v>
      </c>
      <c r="B29" s="322" t="s">
        <v>11</v>
      </c>
      <c r="C29" s="323"/>
      <c r="D29" s="323"/>
      <c r="E29" s="323"/>
      <c r="F29" s="323"/>
      <c r="G29" s="323"/>
      <c r="H29" s="323"/>
      <c r="I29" s="323"/>
    </row>
    <row r="30" spans="1:9" ht="18.75" hidden="1" x14ac:dyDescent="0.2">
      <c r="A30" s="326" t="s">
        <v>2</v>
      </c>
      <c r="B30" s="322" t="s">
        <v>13</v>
      </c>
      <c r="C30" s="323"/>
      <c r="D30" s="323"/>
      <c r="E30" s="323"/>
      <c r="F30" s="323"/>
      <c r="G30" s="323"/>
      <c r="H30" s="323"/>
      <c r="I30" s="323"/>
    </row>
    <row r="31" spans="1:9" ht="18.75" x14ac:dyDescent="0.2">
      <c r="A31" s="318" t="s">
        <v>147</v>
      </c>
      <c r="B31" s="322"/>
      <c r="C31" s="323"/>
      <c r="D31" s="323"/>
      <c r="E31" s="323"/>
      <c r="F31" s="323"/>
      <c r="G31" s="323"/>
      <c r="H31" s="323"/>
      <c r="I31" s="323"/>
    </row>
    <row r="32" spans="1:9" ht="56.25" x14ac:dyDescent="0.2">
      <c r="A32" s="326" t="s">
        <v>146</v>
      </c>
      <c r="B32" s="322" t="s">
        <v>11</v>
      </c>
      <c r="C32" s="323">
        <f>'Приложение 2'!D17/'Приложение 2'!K17*'ПРОГНОЗ 2022-2025'!C14</f>
        <v>1918</v>
      </c>
      <c r="D32" s="323">
        <f>'Приложение 2'!E17/'Приложение 2'!L17*'ПРОГНОЗ 2022-2025'!D14</f>
        <v>1700.1079936480169</v>
      </c>
      <c r="E32" s="323">
        <f>'Приложение 2'!F17/'Приложение 2'!M17*'ПРОГНОЗ 2022-2025'!E14</f>
        <v>1982.3285663819279</v>
      </c>
      <c r="F32" s="323">
        <f>'Приложение 2'!G17/'Приложение 2'!N17*'ПРОГНОЗ 2022-2025'!F14</f>
        <v>2097.3542144848475</v>
      </c>
      <c r="G32" s="323">
        <f>'Приложение 2'!H17/'Приложение 2'!O17*'ПРОГНОЗ 2022-2025'!G14</f>
        <v>2097.3542144848475</v>
      </c>
      <c r="H32" s="323">
        <f>'Приложение 2'!I17/'Приложение 2'!P17*'ПРОГНОЗ 2022-2025'!H14</f>
        <v>2177.0018927777505</v>
      </c>
      <c r="I32" s="323">
        <f>'Приложение 2'!I17/'Приложение 2'!P17*'ПРОГНОЗ 2022-2025'!I14</f>
        <v>2251.0178216030336</v>
      </c>
    </row>
    <row r="33" spans="1:9" ht="18.75" x14ac:dyDescent="0.2">
      <c r="A33" s="326" t="s">
        <v>2</v>
      </c>
      <c r="B33" s="322" t="s">
        <v>13</v>
      </c>
      <c r="C33" s="323">
        <v>92.6</v>
      </c>
      <c r="D33" s="323">
        <v>100</v>
      </c>
      <c r="E33" s="323">
        <v>100</v>
      </c>
      <c r="F33" s="323">
        <v>101.5</v>
      </c>
      <c r="G33" s="325">
        <v>101.5</v>
      </c>
      <c r="H33" s="325">
        <v>100</v>
      </c>
      <c r="I33" s="325">
        <v>100.1</v>
      </c>
    </row>
    <row r="34" spans="1:9" ht="56.25" x14ac:dyDescent="0.2">
      <c r="A34" s="327" t="s">
        <v>148</v>
      </c>
      <c r="B34" s="322"/>
      <c r="C34" s="323"/>
      <c r="D34" s="323"/>
      <c r="E34" s="323"/>
      <c r="F34" s="323"/>
      <c r="G34" s="325"/>
      <c r="H34" s="323"/>
      <c r="I34" s="325"/>
    </row>
    <row r="35" spans="1:9" ht="56.25" x14ac:dyDescent="0.2">
      <c r="A35" s="326" t="s">
        <v>149</v>
      </c>
      <c r="B35" s="322" t="s">
        <v>11</v>
      </c>
      <c r="C35" s="323">
        <f>'Приложение 2'!D20/'Приложение 2'!K20*'ПРОГНОЗ 2022-2025'!C15</f>
        <v>287.17670571484041</v>
      </c>
      <c r="D35" s="323">
        <f>'Приложение 2'!E20/'Приложение 2'!L20*'ПРОГНОЗ 2022-2025'!D15</f>
        <v>406.84211808360186</v>
      </c>
      <c r="E35" s="323">
        <f>'Приложение 2'!F20/'Приложение 2'!M20*'ПРОГНОЗ 2022-2025'!E15</f>
        <v>427.74238901421279</v>
      </c>
      <c r="F35" s="323">
        <f>'Приложение 2'!G20/'Приложение 2'!N20*'ПРОГНОЗ 2022-2025'!F15</f>
        <v>448.26340453543207</v>
      </c>
      <c r="G35" s="323">
        <f>'Приложение 2'!H20/'Приложение 2'!O20*'ПРОГНОЗ 2022-2025'!G15</f>
        <v>448.26340453543207</v>
      </c>
      <c r="H35" s="323">
        <f>'Приложение 2'!I20/'Приложение 2'!P20*'ПРОГНОЗ 2022-2025'!H15</f>
        <v>465.79160019558162</v>
      </c>
      <c r="I35" s="323">
        <f>'Приложение 2'!I20/'Приложение 2'!P20*'ПРОГНОЗ 2022-2025'!I15</f>
        <v>483.17963624791236</v>
      </c>
    </row>
    <row r="36" spans="1:9" ht="18.75" x14ac:dyDescent="0.2">
      <c r="A36" s="326" t="s">
        <v>2</v>
      </c>
      <c r="B36" s="322" t="s">
        <v>13</v>
      </c>
      <c r="C36" s="323">
        <v>100</v>
      </c>
      <c r="D36" s="323">
        <v>99.9</v>
      </c>
      <c r="E36" s="323">
        <v>99.9</v>
      </c>
      <c r="F36" s="323">
        <v>99.9</v>
      </c>
      <c r="G36" s="325">
        <v>99.9</v>
      </c>
      <c r="H36" s="323">
        <v>99.9</v>
      </c>
      <c r="I36" s="323">
        <v>99.9</v>
      </c>
    </row>
    <row r="37" spans="1:9" ht="75" x14ac:dyDescent="0.2">
      <c r="A37" s="327" t="s">
        <v>150</v>
      </c>
      <c r="B37" s="322"/>
      <c r="C37" s="323"/>
      <c r="D37" s="323"/>
      <c r="E37" s="323"/>
      <c r="F37" s="323"/>
      <c r="G37" s="325"/>
      <c r="H37" s="323"/>
      <c r="I37" s="325"/>
    </row>
    <row r="38" spans="1:9" ht="56.25" x14ac:dyDescent="0.2">
      <c r="A38" s="326" t="s">
        <v>149</v>
      </c>
      <c r="B38" s="322" t="s">
        <v>11</v>
      </c>
      <c r="C38" s="323">
        <f>'Приложение 2'!D23/'Приложение 2'!K23*'ПРОГНОЗ 2022-2025'!C16</f>
        <v>58.889087835708558</v>
      </c>
      <c r="D38" s="323">
        <f>'Приложение 2'!E23/'Приложение 2'!L23*'ПРОГНОЗ 2022-2025'!D16</f>
        <v>20.564</v>
      </c>
      <c r="E38" s="323">
        <f>'Приложение 2'!F23/'Приложение 2'!M23*'ПРОГНОЗ 2022-2025'!E16</f>
        <v>21.591999999999999</v>
      </c>
      <c r="F38" s="323">
        <f>'Приложение 2'!G23/'Приложение 2'!N23*'ПРОГНОЗ 2022-2025'!F16</f>
        <v>22.8</v>
      </c>
      <c r="G38" s="323">
        <f>'Приложение 2'!H23/'Приложение 2'!O23*'ПРОГНОЗ 2022-2025'!G16</f>
        <v>22.8</v>
      </c>
      <c r="H38" s="323">
        <f>'Приложение 2'!I23/'Приложение 2'!P23*'ПРОГНОЗ 2022-2025'!H16</f>
        <v>23.7</v>
      </c>
      <c r="I38" s="323">
        <f>'Приложение 2'!I23/'Приложение 2'!P23*'ПРОГНОЗ 2022-2025'!I16</f>
        <v>24.5</v>
      </c>
    </row>
    <row r="39" spans="1:9" ht="37.5" x14ac:dyDescent="0.2">
      <c r="A39" s="328" t="s">
        <v>151</v>
      </c>
      <c r="B39" s="329"/>
      <c r="C39" s="323"/>
      <c r="D39" s="323"/>
      <c r="E39" s="323"/>
      <c r="F39" s="323"/>
      <c r="G39" s="325"/>
      <c r="H39" s="323"/>
      <c r="I39" s="323"/>
    </row>
    <row r="40" spans="1:9" ht="37.5" x14ac:dyDescent="0.2">
      <c r="A40" s="321" t="s">
        <v>16</v>
      </c>
      <c r="B40" s="322" t="s">
        <v>11</v>
      </c>
      <c r="C40" s="323">
        <f>C12</f>
        <v>958.3</v>
      </c>
      <c r="D40" s="323">
        <f t="shared" ref="D40:I40" si="4">D12</f>
        <v>695.87</v>
      </c>
      <c r="E40" s="323">
        <f t="shared" si="4"/>
        <v>811.38</v>
      </c>
      <c r="F40" s="323">
        <f t="shared" si="4"/>
        <v>858.4</v>
      </c>
      <c r="G40" s="323">
        <f t="shared" si="4"/>
        <v>858.4</v>
      </c>
      <c r="H40" s="323">
        <f t="shared" si="4"/>
        <v>891.06</v>
      </c>
      <c r="I40" s="323">
        <f t="shared" si="4"/>
        <v>921.36</v>
      </c>
    </row>
    <row r="41" spans="1:9" ht="37.5" x14ac:dyDescent="0.2">
      <c r="A41" s="321" t="s">
        <v>152</v>
      </c>
      <c r="B41" s="322" t="s">
        <v>13</v>
      </c>
      <c r="C41" s="323">
        <v>98.2</v>
      </c>
      <c r="D41" s="323">
        <v>109.2</v>
      </c>
      <c r="E41" s="323">
        <v>100.1</v>
      </c>
      <c r="F41" s="323">
        <v>100.1</v>
      </c>
      <c r="G41" s="325">
        <v>100.1</v>
      </c>
      <c r="H41" s="323">
        <v>100.2</v>
      </c>
      <c r="I41" s="325">
        <v>100</v>
      </c>
    </row>
    <row r="42" spans="1:9" ht="18.75" x14ac:dyDescent="0.2">
      <c r="A42" s="318" t="s">
        <v>153</v>
      </c>
      <c r="B42" s="329"/>
      <c r="C42" s="323"/>
      <c r="D42" s="323"/>
      <c r="E42" s="323"/>
      <c r="F42" s="323"/>
      <c r="G42" s="325"/>
      <c r="H42" s="323"/>
      <c r="I42" s="323"/>
    </row>
    <row r="43" spans="1:9" ht="18.75" x14ac:dyDescent="0.2">
      <c r="A43" s="330" t="s">
        <v>154</v>
      </c>
      <c r="B43" s="322" t="s">
        <v>11</v>
      </c>
      <c r="C43" s="323">
        <f>C17</f>
        <v>1492.59</v>
      </c>
      <c r="D43" s="323">
        <f t="shared" ref="D43:I43" si="5">D17</f>
        <v>2381.8000000000002</v>
      </c>
      <c r="E43" s="323">
        <f t="shared" si="5"/>
        <v>2776.06</v>
      </c>
      <c r="F43" s="323">
        <f t="shared" si="5"/>
        <v>2937.07</v>
      </c>
      <c r="G43" s="323">
        <f t="shared" si="5"/>
        <v>2937.07</v>
      </c>
      <c r="H43" s="323">
        <f t="shared" si="5"/>
        <v>3048.68</v>
      </c>
      <c r="I43" s="323">
        <f t="shared" si="5"/>
        <v>3152.3</v>
      </c>
    </row>
    <row r="44" spans="1:9" ht="18.75" x14ac:dyDescent="0.2">
      <c r="A44" s="330" t="s">
        <v>18</v>
      </c>
      <c r="B44" s="322" t="s">
        <v>19</v>
      </c>
      <c r="C44" s="323">
        <v>2819</v>
      </c>
      <c r="D44" s="323">
        <v>3491</v>
      </c>
      <c r="E44" s="323">
        <v>3491</v>
      </c>
      <c r="F44" s="323">
        <v>3491</v>
      </c>
      <c r="G44" s="323">
        <v>3491</v>
      </c>
      <c r="H44" s="323">
        <v>3491</v>
      </c>
      <c r="I44" s="323">
        <v>3491</v>
      </c>
    </row>
    <row r="45" spans="1:9" ht="18.75" x14ac:dyDescent="0.2">
      <c r="A45" s="330" t="s">
        <v>20</v>
      </c>
      <c r="B45" s="322" t="s">
        <v>19</v>
      </c>
      <c r="C45" s="323">
        <f>C44/C73/1000</f>
        <v>5.6606425702811249E-2</v>
      </c>
      <c r="D45" s="323">
        <f t="shared" ref="D45:I45" si="6">D44/D73/1000</f>
        <v>7.1122972862847356E-2</v>
      </c>
      <c r="E45" s="323">
        <f t="shared" si="6"/>
        <v>7.2698875468554761E-2</v>
      </c>
      <c r="F45" s="323">
        <f t="shared" si="6"/>
        <v>7.2698875468554761E-2</v>
      </c>
      <c r="G45" s="323">
        <f t="shared" si="6"/>
        <v>7.2698875468554761E-2</v>
      </c>
      <c r="H45" s="323">
        <f t="shared" si="6"/>
        <v>7.2698875468554761E-2</v>
      </c>
      <c r="I45" s="323">
        <f t="shared" si="6"/>
        <v>7.2698875468554761E-2</v>
      </c>
    </row>
    <row r="46" spans="1:9" ht="18.75" x14ac:dyDescent="0.2">
      <c r="A46" s="318" t="s">
        <v>155</v>
      </c>
      <c r="B46" s="329"/>
      <c r="C46" s="323"/>
      <c r="D46" s="323"/>
      <c r="E46" s="323"/>
      <c r="F46" s="323"/>
      <c r="G46" s="325"/>
      <c r="H46" s="323"/>
      <c r="I46" s="325"/>
    </row>
    <row r="47" spans="1:9" ht="18.75" x14ac:dyDescent="0.2">
      <c r="A47" s="330" t="s">
        <v>156</v>
      </c>
      <c r="B47" s="322" t="s">
        <v>157</v>
      </c>
      <c r="C47" s="323">
        <v>265995.7</v>
      </c>
      <c r="D47" s="323">
        <v>265995.7</v>
      </c>
      <c r="E47" s="323">
        <v>265995.7</v>
      </c>
      <c r="F47" s="323">
        <v>265995.7</v>
      </c>
      <c r="G47" s="323">
        <v>265995.7</v>
      </c>
      <c r="H47" s="323">
        <v>265995.7</v>
      </c>
      <c r="I47" s="323">
        <v>265995.7</v>
      </c>
    </row>
    <row r="48" spans="1:9" ht="18.75" x14ac:dyDescent="0.2">
      <c r="A48" s="330" t="s">
        <v>158</v>
      </c>
      <c r="B48" s="322" t="s">
        <v>159</v>
      </c>
      <c r="C48" s="323"/>
      <c r="D48" s="323"/>
      <c r="E48" s="323"/>
      <c r="F48" s="323"/>
      <c r="G48" s="325"/>
      <c r="H48" s="323"/>
      <c r="I48" s="323"/>
    </row>
    <row r="49" spans="1:9" ht="56.25" x14ac:dyDescent="0.2">
      <c r="A49" s="318" t="s">
        <v>160</v>
      </c>
      <c r="B49" s="322"/>
      <c r="C49" s="323"/>
      <c r="D49" s="323"/>
      <c r="E49" s="323"/>
      <c r="F49" s="323"/>
      <c r="G49" s="325"/>
      <c r="H49" s="323"/>
      <c r="I49" s="325"/>
    </row>
    <row r="50" spans="1:9" ht="18.75" x14ac:dyDescent="0.2">
      <c r="A50" s="330" t="s">
        <v>22</v>
      </c>
      <c r="B50" s="322" t="s">
        <v>11</v>
      </c>
      <c r="C50" s="323">
        <v>1631.7</v>
      </c>
      <c r="D50" s="323">
        <v>1823.6</v>
      </c>
      <c r="E50" s="323">
        <f>D50*117.5%</f>
        <v>2142.73</v>
      </c>
      <c r="F50" s="323">
        <f>E50*106.1%</f>
        <v>2273.4365299999999</v>
      </c>
      <c r="G50" s="323">
        <f>F50</f>
        <v>2273.4365299999999</v>
      </c>
      <c r="H50" s="323">
        <f>G50*104%</f>
        <v>2364.3739912000001</v>
      </c>
      <c r="I50" s="323">
        <f>H50*104%</f>
        <v>2458.9489508480001</v>
      </c>
    </row>
    <row r="51" spans="1:9" ht="18.75" x14ac:dyDescent="0.2">
      <c r="A51" s="330" t="s">
        <v>23</v>
      </c>
      <c r="B51" s="322" t="s">
        <v>13</v>
      </c>
      <c r="C51" s="323">
        <v>104.9</v>
      </c>
      <c r="D51" s="323">
        <v>111.8</v>
      </c>
      <c r="E51" s="323">
        <f>E50/D50*100</f>
        <v>117.5</v>
      </c>
      <c r="F51" s="323">
        <f t="shared" ref="F51:I51" si="7">F50/E50*100</f>
        <v>106.1</v>
      </c>
      <c r="G51" s="323">
        <v>106.1</v>
      </c>
      <c r="H51" s="323">
        <f t="shared" si="7"/>
        <v>104</v>
      </c>
      <c r="I51" s="323">
        <f t="shared" si="7"/>
        <v>104</v>
      </c>
    </row>
    <row r="52" spans="1:9" ht="18.75" x14ac:dyDescent="0.2">
      <c r="A52" s="328" t="s">
        <v>24</v>
      </c>
      <c r="B52" s="329"/>
      <c r="C52" s="323"/>
      <c r="D52" s="323"/>
      <c r="E52" s="323"/>
      <c r="F52" s="323"/>
      <c r="G52" s="325"/>
      <c r="H52" s="323"/>
      <c r="I52" s="323"/>
    </row>
    <row r="53" spans="1:9" ht="37.5" x14ac:dyDescent="0.2">
      <c r="A53" s="321" t="s">
        <v>161</v>
      </c>
      <c r="B53" s="322" t="s">
        <v>25</v>
      </c>
      <c r="C53" s="331">
        <f>C55+C58+C59+C60+C61+C62+C63+C64+C65+C66</f>
        <v>209</v>
      </c>
      <c r="D53" s="331">
        <f t="shared" ref="D53:I53" si="8">D55+D58+D59+D60+D61+D62+D63+D64+D65+D66</f>
        <v>197</v>
      </c>
      <c r="E53" s="331">
        <f t="shared" si="8"/>
        <v>196</v>
      </c>
      <c r="F53" s="331">
        <f t="shared" si="8"/>
        <v>196</v>
      </c>
      <c r="G53" s="331">
        <f t="shared" si="8"/>
        <v>196</v>
      </c>
      <c r="H53" s="331">
        <f t="shared" si="8"/>
        <v>196</v>
      </c>
      <c r="I53" s="331">
        <f t="shared" si="8"/>
        <v>196</v>
      </c>
    </row>
    <row r="54" spans="1:9" ht="37.5" x14ac:dyDescent="0.2">
      <c r="A54" s="321" t="s">
        <v>65</v>
      </c>
      <c r="B54" s="322"/>
      <c r="C54" s="323"/>
      <c r="D54" s="323"/>
      <c r="E54" s="323"/>
      <c r="F54" s="323"/>
      <c r="G54" s="325">
        <f t="shared" ref="G54:G67" si="9">F54</f>
        <v>0</v>
      </c>
      <c r="H54" s="323"/>
      <c r="I54" s="325"/>
    </row>
    <row r="55" spans="1:9" ht="37.5" customHeight="1" x14ac:dyDescent="0.2">
      <c r="A55" s="321" t="s">
        <v>190</v>
      </c>
      <c r="B55" s="322" t="s">
        <v>25</v>
      </c>
      <c r="C55" s="323">
        <v>26</v>
      </c>
      <c r="D55" s="323">
        <v>27</v>
      </c>
      <c r="E55" s="323">
        <v>27</v>
      </c>
      <c r="F55" s="323">
        <f t="shared" ref="F55:I55" si="10">F56+F57</f>
        <v>27</v>
      </c>
      <c r="G55" s="325">
        <f t="shared" si="9"/>
        <v>27</v>
      </c>
      <c r="H55" s="323">
        <f t="shared" si="10"/>
        <v>27</v>
      </c>
      <c r="I55" s="323">
        <f t="shared" si="10"/>
        <v>27</v>
      </c>
    </row>
    <row r="56" spans="1:9" ht="59.25" customHeight="1" x14ac:dyDescent="0.2">
      <c r="A56" s="321" t="s">
        <v>140</v>
      </c>
      <c r="B56" s="322" t="s">
        <v>25</v>
      </c>
      <c r="C56" s="323">
        <v>10</v>
      </c>
      <c r="D56" s="323">
        <v>11</v>
      </c>
      <c r="E56" s="323">
        <v>11</v>
      </c>
      <c r="F56" s="323">
        <v>11</v>
      </c>
      <c r="G56" s="323">
        <v>11</v>
      </c>
      <c r="H56" s="323">
        <v>11</v>
      </c>
      <c r="I56" s="323">
        <v>11</v>
      </c>
    </row>
    <row r="57" spans="1:9" ht="18.75" x14ac:dyDescent="0.2">
      <c r="A57" s="321" t="s">
        <v>141</v>
      </c>
      <c r="B57" s="322" t="s">
        <v>25</v>
      </c>
      <c r="C57" s="323">
        <v>16</v>
      </c>
      <c r="D57" s="323">
        <v>16</v>
      </c>
      <c r="E57" s="323">
        <v>16</v>
      </c>
      <c r="F57" s="323">
        <v>16</v>
      </c>
      <c r="G57" s="323">
        <v>16</v>
      </c>
      <c r="H57" s="323">
        <v>16</v>
      </c>
      <c r="I57" s="323">
        <v>16</v>
      </c>
    </row>
    <row r="58" spans="1:9" ht="18.75" x14ac:dyDescent="0.2">
      <c r="A58" s="321" t="s">
        <v>45</v>
      </c>
      <c r="B58" s="322" t="s">
        <v>25</v>
      </c>
      <c r="C58" s="323">
        <v>3</v>
      </c>
      <c r="D58" s="323">
        <v>3</v>
      </c>
      <c r="E58" s="323">
        <v>3</v>
      </c>
      <c r="F58" s="323">
        <v>3</v>
      </c>
      <c r="G58" s="323">
        <v>3</v>
      </c>
      <c r="H58" s="323">
        <v>3</v>
      </c>
      <c r="I58" s="323">
        <v>3</v>
      </c>
    </row>
    <row r="59" spans="1:9" ht="18.75" x14ac:dyDescent="0.2">
      <c r="A59" s="321" t="s">
        <v>46</v>
      </c>
      <c r="B59" s="322" t="s">
        <v>25</v>
      </c>
      <c r="C59" s="323">
        <v>17</v>
      </c>
      <c r="D59" s="323">
        <v>16</v>
      </c>
      <c r="E59" s="323">
        <v>17</v>
      </c>
      <c r="F59" s="323">
        <v>17</v>
      </c>
      <c r="G59" s="323">
        <v>17</v>
      </c>
      <c r="H59" s="323">
        <v>17</v>
      </c>
      <c r="I59" s="323">
        <v>17</v>
      </c>
    </row>
    <row r="60" spans="1:9" ht="56.25" x14ac:dyDescent="0.2">
      <c r="A60" s="321" t="s">
        <v>142</v>
      </c>
      <c r="B60" s="322" t="s">
        <v>25</v>
      </c>
      <c r="C60" s="323">
        <v>4</v>
      </c>
      <c r="D60" s="323">
        <v>4</v>
      </c>
      <c r="E60" s="323">
        <v>5</v>
      </c>
      <c r="F60" s="323">
        <v>5</v>
      </c>
      <c r="G60" s="323">
        <v>5</v>
      </c>
      <c r="H60" s="323">
        <v>5</v>
      </c>
      <c r="I60" s="323">
        <v>5</v>
      </c>
    </row>
    <row r="61" spans="1:9" ht="57" customHeight="1" x14ac:dyDescent="0.2">
      <c r="A61" s="321" t="s">
        <v>143</v>
      </c>
      <c r="B61" s="322" t="s">
        <v>25</v>
      </c>
      <c r="C61" s="323">
        <v>3</v>
      </c>
      <c r="D61" s="323">
        <v>1</v>
      </c>
      <c r="E61" s="323">
        <v>1</v>
      </c>
      <c r="F61" s="323">
        <v>1</v>
      </c>
      <c r="G61" s="323">
        <v>1</v>
      </c>
      <c r="H61" s="323">
        <v>1</v>
      </c>
      <c r="I61" s="323">
        <v>1</v>
      </c>
    </row>
    <row r="62" spans="1:9" ht="18.75" x14ac:dyDescent="0.2">
      <c r="A62" s="321" t="s">
        <v>17</v>
      </c>
      <c r="B62" s="322" t="s">
        <v>25</v>
      </c>
      <c r="C62" s="323">
        <v>16</v>
      </c>
      <c r="D62" s="323">
        <v>18</v>
      </c>
      <c r="E62" s="323">
        <v>18</v>
      </c>
      <c r="F62" s="323">
        <v>18</v>
      </c>
      <c r="G62" s="323">
        <v>18</v>
      </c>
      <c r="H62" s="323">
        <v>18</v>
      </c>
      <c r="I62" s="323">
        <v>18</v>
      </c>
    </row>
    <row r="63" spans="1:9" ht="56.25" x14ac:dyDescent="0.2">
      <c r="A63" s="321" t="s">
        <v>144</v>
      </c>
      <c r="B63" s="322" t="s">
        <v>25</v>
      </c>
      <c r="C63" s="323">
        <v>54</v>
      </c>
      <c r="D63" s="323">
        <v>48</v>
      </c>
      <c r="E63" s="323">
        <v>46</v>
      </c>
      <c r="F63" s="323">
        <v>46</v>
      </c>
      <c r="G63" s="323">
        <v>46</v>
      </c>
      <c r="H63" s="323">
        <v>46</v>
      </c>
      <c r="I63" s="323">
        <v>46</v>
      </c>
    </row>
    <row r="64" spans="1:9" ht="18.75" x14ac:dyDescent="0.2">
      <c r="A64" s="332" t="s">
        <v>171</v>
      </c>
      <c r="B64" s="322" t="s">
        <v>25</v>
      </c>
      <c r="C64" s="323">
        <v>43</v>
      </c>
      <c r="D64" s="323">
        <v>37</v>
      </c>
      <c r="E64" s="323">
        <v>38</v>
      </c>
      <c r="F64" s="323">
        <v>38</v>
      </c>
      <c r="G64" s="323">
        <v>38</v>
      </c>
      <c r="H64" s="323">
        <v>38</v>
      </c>
      <c r="I64" s="323">
        <v>38</v>
      </c>
    </row>
    <row r="65" spans="1:9" ht="37.5" x14ac:dyDescent="0.2">
      <c r="A65" s="333" t="s">
        <v>172</v>
      </c>
      <c r="B65" s="322" t="s">
        <v>25</v>
      </c>
      <c r="C65" s="323">
        <v>1</v>
      </c>
      <c r="D65" s="323">
        <v>2</v>
      </c>
      <c r="E65" s="323">
        <v>2</v>
      </c>
      <c r="F65" s="323">
        <v>2</v>
      </c>
      <c r="G65" s="323">
        <v>2</v>
      </c>
      <c r="H65" s="323">
        <v>2</v>
      </c>
      <c r="I65" s="323">
        <v>2</v>
      </c>
    </row>
    <row r="66" spans="1:9" ht="18.75" x14ac:dyDescent="0.2">
      <c r="A66" s="321" t="s">
        <v>51</v>
      </c>
      <c r="B66" s="322" t="s">
        <v>25</v>
      </c>
      <c r="C66" s="323">
        <v>42</v>
      </c>
      <c r="D66" s="323">
        <v>41</v>
      </c>
      <c r="E66" s="323">
        <v>39</v>
      </c>
      <c r="F66" s="323">
        <v>39</v>
      </c>
      <c r="G66" s="323">
        <v>39</v>
      </c>
      <c r="H66" s="323">
        <v>39</v>
      </c>
      <c r="I66" s="323">
        <v>39</v>
      </c>
    </row>
    <row r="67" spans="1:9" ht="56.25" x14ac:dyDescent="0.2">
      <c r="A67" s="334" t="s">
        <v>74</v>
      </c>
      <c r="B67" s="322" t="s">
        <v>13</v>
      </c>
      <c r="C67" s="323">
        <v>23.2</v>
      </c>
      <c r="D67" s="323">
        <f t="shared" ref="D67:I67" si="11">D21/D9*100</f>
        <v>20.326194882541447</v>
      </c>
      <c r="E67" s="323">
        <f t="shared" si="11"/>
        <v>21.506721409375608</v>
      </c>
      <c r="F67" s="323">
        <f t="shared" si="11"/>
        <v>21.517214450188423</v>
      </c>
      <c r="G67" s="325">
        <f t="shared" si="9"/>
        <v>21.517214450188423</v>
      </c>
      <c r="H67" s="323">
        <f t="shared" si="11"/>
        <v>21.521456567753983</v>
      </c>
      <c r="I67" s="323">
        <f t="shared" si="11"/>
        <v>21.51713974436295</v>
      </c>
    </row>
    <row r="68" spans="1:9" ht="39" x14ac:dyDescent="0.2">
      <c r="A68" s="335" t="s">
        <v>72</v>
      </c>
      <c r="B68" s="336" t="s">
        <v>25</v>
      </c>
      <c r="C68" s="331">
        <v>190</v>
      </c>
      <c r="D68" s="331">
        <v>180</v>
      </c>
      <c r="E68" s="331">
        <v>179</v>
      </c>
      <c r="F68" s="331">
        <v>179</v>
      </c>
      <c r="G68" s="331">
        <v>179</v>
      </c>
      <c r="H68" s="331">
        <v>179</v>
      </c>
      <c r="I68" s="331">
        <v>179</v>
      </c>
    </row>
    <row r="69" spans="1:9" ht="56.25" x14ac:dyDescent="0.2">
      <c r="A69" s="321" t="s">
        <v>82</v>
      </c>
      <c r="B69" s="322" t="s">
        <v>13</v>
      </c>
      <c r="C69" s="323">
        <f>C67</f>
        <v>23.2</v>
      </c>
      <c r="D69" s="323">
        <f t="shared" ref="D69:I69" si="12">D67</f>
        <v>20.326194882541447</v>
      </c>
      <c r="E69" s="323">
        <f t="shared" si="12"/>
        <v>21.506721409375608</v>
      </c>
      <c r="F69" s="323">
        <f t="shared" si="12"/>
        <v>21.517214450188423</v>
      </c>
      <c r="G69" s="323">
        <f t="shared" si="12"/>
        <v>21.517214450188423</v>
      </c>
      <c r="H69" s="323">
        <f t="shared" si="12"/>
        <v>21.521456567753983</v>
      </c>
      <c r="I69" s="323">
        <f t="shared" si="12"/>
        <v>21.51713974436295</v>
      </c>
    </row>
    <row r="70" spans="1:9" ht="37.5" x14ac:dyDescent="0.2">
      <c r="A70" s="334" t="s">
        <v>63</v>
      </c>
      <c r="B70" s="336" t="s">
        <v>25</v>
      </c>
      <c r="C70" s="331">
        <v>710</v>
      </c>
      <c r="D70" s="331">
        <v>760</v>
      </c>
      <c r="E70" s="331">
        <v>772</v>
      </c>
      <c r="F70" s="331">
        <v>772</v>
      </c>
      <c r="G70" s="331">
        <v>772</v>
      </c>
      <c r="H70" s="331">
        <v>772</v>
      </c>
      <c r="I70" s="331">
        <v>772</v>
      </c>
    </row>
    <row r="71" spans="1:9" ht="41.25" customHeight="1" x14ac:dyDescent="0.2">
      <c r="A71" s="337" t="s">
        <v>3</v>
      </c>
      <c r="B71" s="322" t="s">
        <v>11</v>
      </c>
      <c r="C71" s="323">
        <v>1782.5</v>
      </c>
      <c r="D71" s="323">
        <v>1787.4</v>
      </c>
      <c r="E71" s="323">
        <f>D71*80.6%*117.4%</f>
        <v>1691.3165256000002</v>
      </c>
      <c r="F71" s="323">
        <f>E71*100.3%*106.8%</f>
        <v>1811.7450274888224</v>
      </c>
      <c r="G71" s="325">
        <f>F71</f>
        <v>1811.7450274888224</v>
      </c>
      <c r="H71" s="323">
        <f>G71*108.9%*105.3%</f>
        <v>2077.5588226868999</v>
      </c>
      <c r="I71" s="323">
        <f>H71*105.3%*104.8%</f>
        <v>2292.6775734231919</v>
      </c>
    </row>
    <row r="72" spans="1:9" ht="18.75" x14ac:dyDescent="0.2">
      <c r="A72" s="366" t="s">
        <v>93</v>
      </c>
      <c r="B72" s="366"/>
      <c r="C72" s="366"/>
      <c r="D72" s="366"/>
      <c r="E72" s="366"/>
      <c r="F72" s="366"/>
      <c r="G72" s="366"/>
      <c r="H72" s="366"/>
      <c r="I72" s="366"/>
    </row>
    <row r="73" spans="1:9" ht="39" x14ac:dyDescent="0.2">
      <c r="A73" s="307" t="s">
        <v>94</v>
      </c>
      <c r="B73" s="311" t="s">
        <v>27</v>
      </c>
      <c r="C73" s="309">
        <v>49.8</v>
      </c>
      <c r="D73" s="309">
        <v>49.084000000000003</v>
      </c>
      <c r="E73" s="309">
        <v>48.02</v>
      </c>
      <c r="F73" s="309">
        <v>48.02</v>
      </c>
      <c r="G73" s="309">
        <v>48.02</v>
      </c>
      <c r="H73" s="309">
        <v>48.02</v>
      </c>
      <c r="I73" s="309">
        <v>48.02</v>
      </c>
    </row>
    <row r="74" spans="1:9" ht="78" x14ac:dyDescent="0.2">
      <c r="A74" s="307" t="s">
        <v>76</v>
      </c>
      <c r="B74" s="311" t="s">
        <v>27</v>
      </c>
      <c r="C74" s="309">
        <f t="shared" ref="C74" si="13">C76+C79+C80+C81+C82+C83+C84+C85+C86+C87+C88+C89+C90</f>
        <v>12.178000000000001</v>
      </c>
      <c r="D74" s="309">
        <f>D76+D79+D80+D81+D82+D83+D84+D85+D86+D87+D88+D89+D90</f>
        <v>11.888000000000002</v>
      </c>
      <c r="E74" s="309">
        <f>E76+E79+E80+E81+E82+E83+E84+E85+E86+E87+E88+E89+E90</f>
        <v>11.786999999999999</v>
      </c>
      <c r="F74" s="309">
        <f t="shared" ref="F74:I74" si="14">F76+F79+F80+F81+F82+F83+F84+F85+F86+F87+F88+F89+F90</f>
        <v>11.826000000000001</v>
      </c>
      <c r="G74" s="309">
        <f>F74</f>
        <v>11.826000000000001</v>
      </c>
      <c r="H74" s="309">
        <f>H76+H79+H80+H81+H82+H83+H84+H85+H86+H87+H88+H89+H90</f>
        <v>11.716000000000001</v>
      </c>
      <c r="I74" s="309">
        <f t="shared" si="14"/>
        <v>11.716000000000001</v>
      </c>
    </row>
    <row r="75" spans="1:9" ht="19.5" x14ac:dyDescent="0.2">
      <c r="A75" s="307" t="s">
        <v>28</v>
      </c>
      <c r="B75" s="311"/>
      <c r="C75" s="312"/>
      <c r="D75" s="312"/>
      <c r="E75" s="312"/>
      <c r="F75" s="312"/>
      <c r="G75" s="323"/>
      <c r="H75" s="312"/>
      <c r="I75" s="312"/>
    </row>
    <row r="76" spans="1:9" ht="41.25" customHeight="1" x14ac:dyDescent="0.3">
      <c r="A76" s="338" t="s">
        <v>190</v>
      </c>
      <c r="B76" s="311" t="s">
        <v>27</v>
      </c>
      <c r="C76" s="323">
        <v>1.78</v>
      </c>
      <c r="D76" s="323">
        <f t="shared" ref="D76:I76" si="15">D77+D78</f>
        <v>1.5</v>
      </c>
      <c r="E76" s="323">
        <f t="shared" si="15"/>
        <v>1.4570000000000001</v>
      </c>
      <c r="F76" s="323">
        <f t="shared" si="15"/>
        <v>1.5</v>
      </c>
      <c r="G76" s="323">
        <f t="shared" ref="G76:G111" si="16">F76</f>
        <v>1.5</v>
      </c>
      <c r="H76" s="323">
        <f t="shared" si="15"/>
        <v>1.5</v>
      </c>
      <c r="I76" s="312">
        <f t="shared" si="15"/>
        <v>1.5</v>
      </c>
    </row>
    <row r="77" spans="1:9" ht="56.25" x14ac:dyDescent="0.2">
      <c r="A77" s="313" t="s">
        <v>140</v>
      </c>
      <c r="B77" s="311" t="s">
        <v>27</v>
      </c>
      <c r="C77" s="323">
        <v>0.17</v>
      </c>
      <c r="D77" s="323">
        <v>0.11</v>
      </c>
      <c r="E77" s="323">
        <v>0.11</v>
      </c>
      <c r="F77" s="323">
        <v>0.11</v>
      </c>
      <c r="G77" s="323">
        <v>0.11</v>
      </c>
      <c r="H77" s="323">
        <v>0.11</v>
      </c>
      <c r="I77" s="323">
        <v>0.11</v>
      </c>
    </row>
    <row r="78" spans="1:9" ht="18.75" x14ac:dyDescent="0.3">
      <c r="A78" s="339" t="s">
        <v>141</v>
      </c>
      <c r="B78" s="311" t="s">
        <v>27</v>
      </c>
      <c r="C78" s="323">
        <v>1.62</v>
      </c>
      <c r="D78" s="323">
        <v>1.39</v>
      </c>
      <c r="E78" s="323">
        <v>1.347</v>
      </c>
      <c r="F78" s="323">
        <v>1.39</v>
      </c>
      <c r="G78" s="323">
        <v>1.39</v>
      </c>
      <c r="H78" s="323">
        <v>1.39</v>
      </c>
      <c r="I78" s="312">
        <v>1.39</v>
      </c>
    </row>
    <row r="79" spans="1:9" ht="18.75" x14ac:dyDescent="0.3">
      <c r="A79" s="339" t="s">
        <v>45</v>
      </c>
      <c r="B79" s="311" t="s">
        <v>27</v>
      </c>
      <c r="C79" s="323">
        <v>6.5000000000000002E-2</v>
      </c>
      <c r="D79" s="323">
        <v>6.5000000000000002E-2</v>
      </c>
      <c r="E79" s="323">
        <v>6.5000000000000002E-2</v>
      </c>
      <c r="F79" s="323">
        <v>6.5000000000000002E-2</v>
      </c>
      <c r="G79" s="323">
        <v>6.5000000000000002E-2</v>
      </c>
      <c r="H79" s="323">
        <v>6.5000000000000002E-2</v>
      </c>
      <c r="I79" s="323">
        <v>6.5000000000000002E-2</v>
      </c>
    </row>
    <row r="80" spans="1:9" ht="18.75" x14ac:dyDescent="0.3">
      <c r="A80" s="339" t="s">
        <v>46</v>
      </c>
      <c r="B80" s="311" t="s">
        <v>27</v>
      </c>
      <c r="C80" s="323">
        <v>0.94</v>
      </c>
      <c r="D80" s="323">
        <v>0.78600000000000003</v>
      </c>
      <c r="E80" s="323">
        <v>0.64600000000000002</v>
      </c>
      <c r="F80" s="323">
        <v>0.64600000000000002</v>
      </c>
      <c r="G80" s="323">
        <v>0.64600000000000002</v>
      </c>
      <c r="H80" s="323">
        <v>0.64600000000000002</v>
      </c>
      <c r="I80" s="323">
        <v>0.64600000000000002</v>
      </c>
    </row>
    <row r="81" spans="1:11" ht="56.25" x14ac:dyDescent="0.2">
      <c r="A81" s="314" t="s">
        <v>142</v>
      </c>
      <c r="B81" s="311" t="s">
        <v>27</v>
      </c>
      <c r="C81" s="323">
        <v>0.57999999999999996</v>
      </c>
      <c r="D81" s="323">
        <v>0.56799999999999995</v>
      </c>
      <c r="E81" s="323">
        <v>0.56799999999999995</v>
      </c>
      <c r="F81" s="323">
        <v>0.56799999999999995</v>
      </c>
      <c r="G81" s="323">
        <v>0.56799999999999995</v>
      </c>
      <c r="H81" s="323">
        <v>0.56799999999999995</v>
      </c>
      <c r="I81" s="323">
        <v>0.56799999999999995</v>
      </c>
    </row>
    <row r="82" spans="1:11" ht="55.5" customHeight="1" x14ac:dyDescent="0.3">
      <c r="A82" s="340" t="s">
        <v>143</v>
      </c>
      <c r="B82" s="311" t="s">
        <v>27</v>
      </c>
      <c r="C82" s="323">
        <v>0.11600000000000001</v>
      </c>
      <c r="D82" s="323">
        <v>0.09</v>
      </c>
      <c r="E82" s="323">
        <v>0.09</v>
      </c>
      <c r="F82" s="323">
        <v>0.09</v>
      </c>
      <c r="G82" s="323">
        <v>0.09</v>
      </c>
      <c r="H82" s="323">
        <v>0.09</v>
      </c>
      <c r="I82" s="323">
        <v>0.09</v>
      </c>
    </row>
    <row r="83" spans="1:11" ht="18.75" x14ac:dyDescent="0.3">
      <c r="A83" s="339" t="s">
        <v>17</v>
      </c>
      <c r="B83" s="311" t="s">
        <v>27</v>
      </c>
      <c r="C83" s="323">
        <v>0.496</v>
      </c>
      <c r="D83" s="323">
        <v>0.53</v>
      </c>
      <c r="E83" s="323">
        <v>0.53</v>
      </c>
      <c r="F83" s="323">
        <v>0.53</v>
      </c>
      <c r="G83" s="323">
        <v>0.53</v>
      </c>
      <c r="H83" s="323">
        <v>0.53</v>
      </c>
      <c r="I83" s="323">
        <v>0.53</v>
      </c>
    </row>
    <row r="84" spans="1:11" ht="41.25" customHeight="1" x14ac:dyDescent="0.2">
      <c r="A84" s="313" t="s">
        <v>144</v>
      </c>
      <c r="B84" s="311" t="s">
        <v>27</v>
      </c>
      <c r="C84" s="323">
        <v>0.61</v>
      </c>
      <c r="D84" s="323">
        <v>0.60199999999999998</v>
      </c>
      <c r="E84" s="323">
        <v>0.60599999999999998</v>
      </c>
      <c r="F84" s="323">
        <v>0.60199999999999998</v>
      </c>
      <c r="G84" s="323">
        <v>0.60199999999999998</v>
      </c>
      <c r="H84" s="323">
        <v>0.60199999999999998</v>
      </c>
      <c r="I84" s="323">
        <v>0.60199999999999998</v>
      </c>
    </row>
    <row r="85" spans="1:11" ht="18.75" x14ac:dyDescent="0.2">
      <c r="A85" s="315" t="s">
        <v>171</v>
      </c>
      <c r="B85" s="311" t="s">
        <v>27</v>
      </c>
      <c r="C85" s="323">
        <v>2.2549999999999999</v>
      </c>
      <c r="D85" s="323">
        <v>2.4670000000000001</v>
      </c>
      <c r="E85" s="323">
        <v>2.52</v>
      </c>
      <c r="F85" s="323">
        <v>2.52</v>
      </c>
      <c r="G85" s="323">
        <v>2.52</v>
      </c>
      <c r="H85" s="323">
        <v>2.52</v>
      </c>
      <c r="I85" s="323">
        <v>2.52</v>
      </c>
      <c r="K85" s="341"/>
    </row>
    <row r="86" spans="1:11" ht="37.5" x14ac:dyDescent="0.2">
      <c r="A86" s="314" t="s">
        <v>172</v>
      </c>
      <c r="B86" s="311" t="s">
        <v>27</v>
      </c>
      <c r="C86" s="323">
        <v>0.1</v>
      </c>
      <c r="D86" s="323">
        <v>9.7000000000000003E-2</v>
      </c>
      <c r="E86" s="323">
        <v>9.7000000000000003E-2</v>
      </c>
      <c r="F86" s="323">
        <v>9.7000000000000003E-2</v>
      </c>
      <c r="G86" s="323">
        <v>9.7000000000000003E-2</v>
      </c>
      <c r="H86" s="323">
        <v>9.7000000000000003E-2</v>
      </c>
      <c r="I86" s="323">
        <v>9.7000000000000003E-2</v>
      </c>
      <c r="J86" s="342"/>
      <c r="K86" s="341"/>
    </row>
    <row r="87" spans="1:11" ht="56.25" x14ac:dyDescent="0.2">
      <c r="A87" s="343" t="s">
        <v>44</v>
      </c>
      <c r="B87" s="344" t="s">
        <v>27</v>
      </c>
      <c r="C87" s="323">
        <v>0.97799999999999998</v>
      </c>
      <c r="D87" s="323">
        <v>0.95399999999999996</v>
      </c>
      <c r="E87" s="323">
        <v>0.95399999999999996</v>
      </c>
      <c r="F87" s="323">
        <v>0.95399999999999996</v>
      </c>
      <c r="G87" s="323">
        <v>0.95399999999999996</v>
      </c>
      <c r="H87" s="323">
        <v>0.95399999999999996</v>
      </c>
      <c r="I87" s="323">
        <v>0.95399999999999996</v>
      </c>
      <c r="K87" s="345"/>
    </row>
    <row r="88" spans="1:11" ht="18.75" x14ac:dyDescent="0.3">
      <c r="A88" s="339" t="s">
        <v>48</v>
      </c>
      <c r="B88" s="311" t="s">
        <v>27</v>
      </c>
      <c r="C88" s="323">
        <v>2.2869999999999999</v>
      </c>
      <c r="D88" s="323">
        <v>2.2989999999999999</v>
      </c>
      <c r="E88" s="323">
        <v>2.2989999999999999</v>
      </c>
      <c r="F88" s="323">
        <v>2.2989999999999999</v>
      </c>
      <c r="G88" s="323">
        <v>2.2989999999999999</v>
      </c>
      <c r="H88" s="323">
        <v>2.2989999999999999</v>
      </c>
      <c r="I88" s="323">
        <v>2.2989999999999999</v>
      </c>
    </row>
    <row r="89" spans="1:11" ht="18.75" x14ac:dyDescent="0.3">
      <c r="A89" s="339" t="s">
        <v>49</v>
      </c>
      <c r="B89" s="311" t="s">
        <v>27</v>
      </c>
      <c r="C89" s="323">
        <v>0.80100000000000005</v>
      </c>
      <c r="D89" s="323">
        <v>0.72</v>
      </c>
      <c r="E89" s="323">
        <v>0.72</v>
      </c>
      <c r="F89" s="323">
        <v>0.72</v>
      </c>
      <c r="G89" s="323">
        <v>0.72</v>
      </c>
      <c r="H89" s="323">
        <v>0.72</v>
      </c>
      <c r="I89" s="323">
        <v>0.72</v>
      </c>
    </row>
    <row r="90" spans="1:11" ht="18.75" x14ac:dyDescent="0.3">
      <c r="A90" s="339" t="s">
        <v>51</v>
      </c>
      <c r="B90" s="311" t="s">
        <v>27</v>
      </c>
      <c r="C90" s="323">
        <v>1.17</v>
      </c>
      <c r="D90" s="323">
        <v>1.21</v>
      </c>
      <c r="E90" s="323">
        <v>1.2350000000000001</v>
      </c>
      <c r="F90" s="323">
        <v>1.2350000000000001</v>
      </c>
      <c r="G90" s="323">
        <v>1.2350000000000001</v>
      </c>
      <c r="H90" s="323">
        <v>1.125</v>
      </c>
      <c r="I90" s="312">
        <v>1.125</v>
      </c>
    </row>
    <row r="91" spans="1:11" ht="93.75" x14ac:dyDescent="0.3">
      <c r="A91" s="346" t="s">
        <v>55</v>
      </c>
      <c r="B91" s="311" t="s">
        <v>27</v>
      </c>
      <c r="C91" s="323">
        <f>C93+C94+C95+C96+C97</f>
        <v>1.0154000000000001</v>
      </c>
      <c r="D91" s="323">
        <f>D93+D94+D95+D96+D97</f>
        <v>1.018</v>
      </c>
      <c r="E91" s="323">
        <f t="shared" ref="E91:I91" si="17">E93+E94+E95+E96+E97</f>
        <v>1.0460000000000003</v>
      </c>
      <c r="F91" s="323">
        <f t="shared" si="17"/>
        <v>1.0490000000000002</v>
      </c>
      <c r="G91" s="323">
        <f t="shared" si="16"/>
        <v>1.0490000000000002</v>
      </c>
      <c r="H91" s="323">
        <f t="shared" si="17"/>
        <v>1.0500000000000003</v>
      </c>
      <c r="I91" s="312">
        <f t="shared" si="17"/>
        <v>1.0490000000000002</v>
      </c>
    </row>
    <row r="92" spans="1:11" ht="18.75" x14ac:dyDescent="0.3">
      <c r="A92" s="346" t="s">
        <v>50</v>
      </c>
      <c r="B92" s="311"/>
      <c r="C92" s="312"/>
      <c r="D92" s="312"/>
      <c r="E92" s="312"/>
      <c r="F92" s="312"/>
      <c r="G92" s="323">
        <f t="shared" si="16"/>
        <v>0</v>
      </c>
      <c r="H92" s="312"/>
      <c r="I92" s="312"/>
    </row>
    <row r="93" spans="1:11" ht="18.75" x14ac:dyDescent="0.2">
      <c r="A93" s="314" t="s">
        <v>48</v>
      </c>
      <c r="B93" s="311" t="s">
        <v>27</v>
      </c>
      <c r="C93" s="312">
        <v>0.1396</v>
      </c>
      <c r="D93" s="312">
        <v>0.13300000000000001</v>
      </c>
      <c r="E93" s="312">
        <v>0.13300000000000001</v>
      </c>
      <c r="F93" s="312">
        <v>0.13300000000000001</v>
      </c>
      <c r="G93" s="323">
        <v>0.13300000000000001</v>
      </c>
      <c r="H93" s="312">
        <v>0.13300000000000001</v>
      </c>
      <c r="I93" s="312">
        <v>0.13300000000000001</v>
      </c>
    </row>
    <row r="94" spans="1:11" ht="18.75" x14ac:dyDescent="0.2">
      <c r="A94" s="315" t="s">
        <v>201</v>
      </c>
      <c r="B94" s="311" t="s">
        <v>27</v>
      </c>
      <c r="C94" s="312">
        <v>0.159</v>
      </c>
      <c r="D94" s="312">
        <v>0.16200000000000001</v>
      </c>
      <c r="E94" s="312">
        <v>0.16200000000000001</v>
      </c>
      <c r="F94" s="312">
        <v>0.16200000000000001</v>
      </c>
      <c r="G94" s="323">
        <v>0.16200000000000001</v>
      </c>
      <c r="H94" s="312">
        <v>0.16200000000000001</v>
      </c>
      <c r="I94" s="312">
        <v>0.16200000000000001</v>
      </c>
    </row>
    <row r="95" spans="1:11" ht="18.75" x14ac:dyDescent="0.2">
      <c r="A95" s="315" t="s">
        <v>202</v>
      </c>
      <c r="B95" s="311" t="s">
        <v>26</v>
      </c>
      <c r="C95" s="312">
        <v>6.9000000000000006E-2</v>
      </c>
      <c r="D95" s="312">
        <v>7.9000000000000001E-2</v>
      </c>
      <c r="E95" s="312">
        <v>8.3000000000000004E-2</v>
      </c>
      <c r="F95" s="312">
        <v>8.3000000000000004E-2</v>
      </c>
      <c r="G95" s="323">
        <v>8.3000000000000004E-2</v>
      </c>
      <c r="H95" s="312">
        <v>8.3000000000000004E-2</v>
      </c>
      <c r="I95" s="312">
        <v>8.3000000000000004E-2</v>
      </c>
    </row>
    <row r="96" spans="1:11" ht="18.75" x14ac:dyDescent="0.2">
      <c r="A96" s="315" t="s">
        <v>51</v>
      </c>
      <c r="B96" s="311" t="s">
        <v>26</v>
      </c>
      <c r="C96" s="312">
        <v>0.1195</v>
      </c>
      <c r="D96" s="312">
        <v>0.12</v>
      </c>
      <c r="E96" s="312">
        <v>0.123</v>
      </c>
      <c r="F96" s="312">
        <v>0.123</v>
      </c>
      <c r="G96" s="323">
        <v>0.123</v>
      </c>
      <c r="H96" s="312">
        <v>0.123</v>
      </c>
      <c r="I96" s="312">
        <v>0.123</v>
      </c>
    </row>
    <row r="97" spans="1:9" ht="18.75" x14ac:dyDescent="0.2">
      <c r="A97" s="315" t="s">
        <v>203</v>
      </c>
      <c r="B97" s="311" t="s">
        <v>26</v>
      </c>
      <c r="C97" s="312">
        <v>0.52829999999999999</v>
      </c>
      <c r="D97" s="312">
        <v>0.52400000000000002</v>
      </c>
      <c r="E97" s="312">
        <v>0.54500000000000004</v>
      </c>
      <c r="F97" s="312">
        <v>0.54800000000000004</v>
      </c>
      <c r="G97" s="323">
        <v>0.54800000000000004</v>
      </c>
      <c r="H97" s="312">
        <v>0.54900000000000004</v>
      </c>
      <c r="I97" s="312">
        <v>0.54800000000000004</v>
      </c>
    </row>
    <row r="98" spans="1:9" ht="75" x14ac:dyDescent="0.3">
      <c r="A98" s="347" t="s">
        <v>75</v>
      </c>
      <c r="B98" s="311" t="s">
        <v>27</v>
      </c>
      <c r="C98" s="312">
        <v>1.25</v>
      </c>
      <c r="D98" s="312">
        <f t="shared" ref="D98:I98" si="18">D101+D102+D103+D104+D105+D106+D107+D108+D109+D110+D111</f>
        <v>1.2471000000000001</v>
      </c>
      <c r="E98" s="312">
        <f t="shared" si="18"/>
        <v>1.2471000000000001</v>
      </c>
      <c r="F98" s="312">
        <f t="shared" si="18"/>
        <v>1.2471000000000001</v>
      </c>
      <c r="G98" s="323">
        <f t="shared" si="16"/>
        <v>1.2471000000000001</v>
      </c>
      <c r="H98" s="312">
        <f t="shared" si="18"/>
        <v>1.2471000000000001</v>
      </c>
      <c r="I98" s="312">
        <f t="shared" si="18"/>
        <v>1.2471000000000001</v>
      </c>
    </row>
    <row r="99" spans="1:9" ht="19.5" x14ac:dyDescent="0.2">
      <c r="A99" s="307" t="s">
        <v>28</v>
      </c>
      <c r="B99" s="311"/>
      <c r="C99" s="312"/>
      <c r="D99" s="312"/>
      <c r="E99" s="312"/>
      <c r="F99" s="312"/>
      <c r="G99" s="323"/>
      <c r="H99" s="312"/>
      <c r="I99" s="312"/>
    </row>
    <row r="100" spans="1:9" ht="39" customHeight="1" x14ac:dyDescent="0.3">
      <c r="A100" s="338" t="s">
        <v>190</v>
      </c>
      <c r="B100" s="311" t="s">
        <v>27</v>
      </c>
      <c r="C100" s="312">
        <f>C101+C102</f>
        <v>0.53</v>
      </c>
      <c r="D100" s="312">
        <f t="shared" ref="D100:I100" si="19">D101+D102</f>
        <v>0.29399999999999998</v>
      </c>
      <c r="E100" s="312">
        <f t="shared" si="19"/>
        <v>0.29399999999999998</v>
      </c>
      <c r="F100" s="312">
        <f t="shared" si="19"/>
        <v>0.29399999999999998</v>
      </c>
      <c r="G100" s="323">
        <f t="shared" si="16"/>
        <v>0.29399999999999998</v>
      </c>
      <c r="H100" s="312">
        <f t="shared" si="19"/>
        <v>0.29399999999999998</v>
      </c>
      <c r="I100" s="312">
        <f t="shared" si="19"/>
        <v>0.29399999999999998</v>
      </c>
    </row>
    <row r="101" spans="1:9" ht="56.25" x14ac:dyDescent="0.2">
      <c r="A101" s="313" t="s">
        <v>140</v>
      </c>
      <c r="B101" s="311" t="s">
        <v>26</v>
      </c>
      <c r="C101" s="312">
        <v>0.16</v>
      </c>
      <c r="D101" s="312">
        <v>0.115</v>
      </c>
      <c r="E101" s="312">
        <v>0.115</v>
      </c>
      <c r="F101" s="312">
        <v>0.115</v>
      </c>
      <c r="G101" s="323">
        <f t="shared" si="16"/>
        <v>0.115</v>
      </c>
      <c r="H101" s="312">
        <v>0.115</v>
      </c>
      <c r="I101" s="312">
        <v>0.115</v>
      </c>
    </row>
    <row r="102" spans="1:9" ht="18.75" x14ac:dyDescent="0.3">
      <c r="A102" s="339" t="s">
        <v>141</v>
      </c>
      <c r="B102" s="311" t="s">
        <v>27</v>
      </c>
      <c r="C102" s="312">
        <v>0.37</v>
      </c>
      <c r="D102" s="312">
        <v>0.17899999999999999</v>
      </c>
      <c r="E102" s="312">
        <v>0.17899999999999999</v>
      </c>
      <c r="F102" s="312">
        <v>0.17899999999999999</v>
      </c>
      <c r="G102" s="323">
        <f t="shared" si="16"/>
        <v>0.17899999999999999</v>
      </c>
      <c r="H102" s="312">
        <v>0.17899999999999999</v>
      </c>
      <c r="I102" s="312">
        <v>0.17899999999999999</v>
      </c>
    </row>
    <row r="103" spans="1:9" ht="18.75" x14ac:dyDescent="0.2">
      <c r="A103" s="315" t="s">
        <v>45</v>
      </c>
      <c r="B103" s="311" t="s">
        <v>27</v>
      </c>
      <c r="C103" s="312">
        <v>2.29E-2</v>
      </c>
      <c r="D103" s="312">
        <v>2.1999999999999999E-2</v>
      </c>
      <c r="E103" s="312">
        <v>2.1999999999999999E-2</v>
      </c>
      <c r="F103" s="312">
        <v>2.1999999999999999E-2</v>
      </c>
      <c r="G103" s="323">
        <f t="shared" si="16"/>
        <v>2.1999999999999999E-2</v>
      </c>
      <c r="H103" s="312">
        <v>2.1999999999999999E-2</v>
      </c>
      <c r="I103" s="312">
        <v>2.1999999999999999E-2</v>
      </c>
    </row>
    <row r="104" spans="1:9" ht="18.75" x14ac:dyDescent="0.3">
      <c r="A104" s="339" t="s">
        <v>46</v>
      </c>
      <c r="B104" s="311" t="s">
        <v>26</v>
      </c>
      <c r="C104" s="312">
        <v>1.7999999999999999E-2</v>
      </c>
      <c r="D104" s="312">
        <v>1.7999999999999999E-2</v>
      </c>
      <c r="E104" s="312">
        <v>1.7999999999999999E-2</v>
      </c>
      <c r="F104" s="312">
        <v>1.7999999999999999E-2</v>
      </c>
      <c r="G104" s="323">
        <f t="shared" si="16"/>
        <v>1.7999999999999999E-2</v>
      </c>
      <c r="H104" s="312">
        <v>1.7999999999999999E-2</v>
      </c>
      <c r="I104" s="312">
        <v>1.7999999999999999E-2</v>
      </c>
    </row>
    <row r="105" spans="1:9" ht="56.25" x14ac:dyDescent="0.2">
      <c r="A105" s="314" t="s">
        <v>142</v>
      </c>
      <c r="B105" s="311" t="s">
        <v>26</v>
      </c>
      <c r="C105" s="312">
        <v>3.0499999999999999E-2</v>
      </c>
      <c r="D105" s="312">
        <v>3.0499999999999999E-2</v>
      </c>
      <c r="E105" s="312">
        <v>3.0499999999999999E-2</v>
      </c>
      <c r="F105" s="312">
        <v>3.0499999999999999E-2</v>
      </c>
      <c r="G105" s="323">
        <f t="shared" si="16"/>
        <v>3.0499999999999999E-2</v>
      </c>
      <c r="H105" s="312">
        <v>3.0499999999999999E-2</v>
      </c>
      <c r="I105" s="312">
        <v>3.0499999999999999E-2</v>
      </c>
    </row>
    <row r="106" spans="1:9" ht="60" customHeight="1" x14ac:dyDescent="0.3">
      <c r="A106" s="340" t="s">
        <v>143</v>
      </c>
      <c r="B106" s="311" t="s">
        <v>26</v>
      </c>
      <c r="C106" s="312">
        <v>0</v>
      </c>
      <c r="D106" s="312">
        <v>0</v>
      </c>
      <c r="E106" s="312">
        <v>0</v>
      </c>
      <c r="F106" s="312">
        <v>0</v>
      </c>
      <c r="G106" s="323">
        <f t="shared" si="16"/>
        <v>0</v>
      </c>
      <c r="H106" s="312">
        <v>0</v>
      </c>
      <c r="I106" s="312">
        <v>0</v>
      </c>
    </row>
    <row r="107" spans="1:9" ht="18.75" x14ac:dyDescent="0.3">
      <c r="A107" s="339" t="s">
        <v>17</v>
      </c>
      <c r="B107" s="311" t="s">
        <v>26</v>
      </c>
      <c r="C107" s="312">
        <v>0.14369999999999999</v>
      </c>
      <c r="D107" s="312">
        <v>0.14369999999999999</v>
      </c>
      <c r="E107" s="312">
        <v>0.14369999999999999</v>
      </c>
      <c r="F107" s="312">
        <v>0.14369999999999999</v>
      </c>
      <c r="G107" s="323">
        <f t="shared" si="16"/>
        <v>0.14369999999999999</v>
      </c>
      <c r="H107" s="312">
        <v>0.14369999999999999</v>
      </c>
      <c r="I107" s="312">
        <v>0.14369999999999999</v>
      </c>
    </row>
    <row r="108" spans="1:9" ht="43.5" customHeight="1" x14ac:dyDescent="0.3">
      <c r="A108" s="340" t="s">
        <v>144</v>
      </c>
      <c r="B108" s="311" t="s">
        <v>26</v>
      </c>
      <c r="C108" s="312">
        <v>0.39050000000000001</v>
      </c>
      <c r="D108" s="312">
        <v>0.39050000000000001</v>
      </c>
      <c r="E108" s="312">
        <v>0.39050000000000001</v>
      </c>
      <c r="F108" s="312">
        <v>0.39050000000000001</v>
      </c>
      <c r="G108" s="323">
        <f t="shared" si="16"/>
        <v>0.39050000000000001</v>
      </c>
      <c r="H108" s="312">
        <v>0.39050000000000001</v>
      </c>
      <c r="I108" s="312">
        <v>0.39050000000000001</v>
      </c>
    </row>
    <row r="109" spans="1:9" ht="18.75" x14ac:dyDescent="0.2">
      <c r="A109" s="315" t="s">
        <v>171</v>
      </c>
      <c r="B109" s="311" t="s">
        <v>26</v>
      </c>
      <c r="C109" s="312">
        <v>5.8400000000000001E-2</v>
      </c>
      <c r="D109" s="312">
        <v>5.8400000000000001E-2</v>
      </c>
      <c r="E109" s="312">
        <v>5.8400000000000001E-2</v>
      </c>
      <c r="F109" s="312">
        <v>5.8400000000000001E-2</v>
      </c>
      <c r="G109" s="323">
        <f t="shared" si="16"/>
        <v>5.8400000000000001E-2</v>
      </c>
      <c r="H109" s="312">
        <v>5.8400000000000001E-2</v>
      </c>
      <c r="I109" s="312">
        <v>5.8400000000000001E-2</v>
      </c>
    </row>
    <row r="110" spans="1:9" ht="37.5" x14ac:dyDescent="0.2">
      <c r="A110" s="314" t="s">
        <v>172</v>
      </c>
      <c r="B110" s="311" t="s">
        <v>26</v>
      </c>
      <c r="C110" s="312"/>
      <c r="D110" s="312"/>
      <c r="E110" s="312"/>
      <c r="F110" s="312"/>
      <c r="G110" s="323">
        <f t="shared" si="16"/>
        <v>0</v>
      </c>
      <c r="H110" s="312"/>
      <c r="I110" s="312"/>
    </row>
    <row r="111" spans="1:9" ht="18.75" x14ac:dyDescent="0.3">
      <c r="A111" s="339" t="s">
        <v>51</v>
      </c>
      <c r="B111" s="311" t="s">
        <v>26</v>
      </c>
      <c r="C111" s="312">
        <v>0.28920000000000001</v>
      </c>
      <c r="D111" s="312">
        <v>0.28999999999999998</v>
      </c>
      <c r="E111" s="312">
        <v>0.28999999999999998</v>
      </c>
      <c r="F111" s="312">
        <v>0.28999999999999998</v>
      </c>
      <c r="G111" s="323">
        <f t="shared" si="16"/>
        <v>0.28999999999999998</v>
      </c>
      <c r="H111" s="312">
        <v>0.28999999999999998</v>
      </c>
      <c r="I111" s="312">
        <v>0.28999999999999998</v>
      </c>
    </row>
    <row r="112" spans="1:9" ht="58.5" x14ac:dyDescent="0.2">
      <c r="A112" s="348" t="s">
        <v>95</v>
      </c>
      <c r="B112" s="311" t="s">
        <v>13</v>
      </c>
      <c r="C112" s="320">
        <v>4.3</v>
      </c>
      <c r="D112" s="320">
        <v>1.6</v>
      </c>
      <c r="E112" s="320">
        <v>1.4</v>
      </c>
      <c r="F112" s="320">
        <v>1.4</v>
      </c>
      <c r="G112" s="320">
        <v>1.4</v>
      </c>
      <c r="H112" s="320">
        <v>1.4</v>
      </c>
      <c r="I112" s="320">
        <v>1.4</v>
      </c>
    </row>
    <row r="113" spans="1:12" ht="78" x14ac:dyDescent="0.2">
      <c r="A113" s="307" t="s">
        <v>79</v>
      </c>
      <c r="B113" s="311" t="s">
        <v>14</v>
      </c>
      <c r="C113" s="309">
        <v>51489.39</v>
      </c>
      <c r="D113" s="309">
        <v>55121.35</v>
      </c>
      <c r="E113" s="309">
        <v>58671.71</v>
      </c>
      <c r="F113" s="309">
        <v>61096.57</v>
      </c>
      <c r="G113" s="320">
        <v>61096.57</v>
      </c>
      <c r="H113" s="309">
        <v>63027.93</v>
      </c>
      <c r="I113" s="309">
        <v>65431.519999999997</v>
      </c>
    </row>
    <row r="114" spans="1:12" ht="19.5" x14ac:dyDescent="0.2">
      <c r="A114" s="307" t="s">
        <v>28</v>
      </c>
      <c r="B114" s="311"/>
      <c r="C114" s="312"/>
      <c r="D114" s="312"/>
      <c r="E114" s="312"/>
      <c r="F114" s="312"/>
      <c r="G114" s="323"/>
      <c r="H114" s="312"/>
      <c r="I114" s="312"/>
    </row>
    <row r="115" spans="1:12" ht="38.25" customHeight="1" x14ac:dyDescent="0.3">
      <c r="A115" s="338" t="s">
        <v>139</v>
      </c>
      <c r="B115" s="311" t="s">
        <v>14</v>
      </c>
      <c r="C115" s="312">
        <v>63650.5</v>
      </c>
      <c r="D115" s="312">
        <v>73114.53</v>
      </c>
      <c r="E115" s="312">
        <v>84671.01</v>
      </c>
      <c r="F115" s="312">
        <v>85113.82</v>
      </c>
      <c r="G115" s="323">
        <v>85113.82</v>
      </c>
      <c r="H115" s="312">
        <v>87121.61</v>
      </c>
      <c r="I115" s="312">
        <v>90606.46</v>
      </c>
    </row>
    <row r="116" spans="1:12" ht="56.25" x14ac:dyDescent="0.2">
      <c r="A116" s="314" t="s">
        <v>140</v>
      </c>
      <c r="B116" s="311" t="s">
        <v>14</v>
      </c>
      <c r="C116" s="312">
        <v>41131.08</v>
      </c>
      <c r="D116" s="312">
        <v>48040.58</v>
      </c>
      <c r="E116" s="312">
        <v>51691.66</v>
      </c>
      <c r="F116" s="312">
        <v>54844.86</v>
      </c>
      <c r="G116" s="323">
        <v>54844.86</v>
      </c>
      <c r="H116" s="312">
        <v>57038.65</v>
      </c>
      <c r="I116" s="312">
        <v>59320.2</v>
      </c>
    </row>
    <row r="117" spans="1:12" ht="18.75" x14ac:dyDescent="0.3">
      <c r="A117" s="339" t="s">
        <v>141</v>
      </c>
      <c r="B117" s="311" t="s">
        <v>14</v>
      </c>
      <c r="C117" s="312">
        <v>65980.62</v>
      </c>
      <c r="D117" s="312">
        <v>75190.490000000005</v>
      </c>
      <c r="E117" s="312">
        <v>87486.61</v>
      </c>
      <c r="F117" s="312">
        <v>87610.91</v>
      </c>
      <c r="G117" s="323">
        <v>87610.91</v>
      </c>
      <c r="H117" s="312">
        <v>89603.35</v>
      </c>
      <c r="I117" s="312">
        <v>93187.46</v>
      </c>
    </row>
    <row r="118" spans="1:12" ht="18.75" x14ac:dyDescent="0.3">
      <c r="A118" s="339" t="s">
        <v>45</v>
      </c>
      <c r="B118" s="311" t="s">
        <v>14</v>
      </c>
      <c r="C118" s="312">
        <v>46564.22</v>
      </c>
      <c r="D118" s="312">
        <v>110481.42</v>
      </c>
      <c r="E118" s="312">
        <v>80221.61</v>
      </c>
      <c r="F118" s="312">
        <v>85115.13</v>
      </c>
      <c r="G118" s="323">
        <v>85115.13</v>
      </c>
      <c r="H118" s="312">
        <v>88519.73</v>
      </c>
      <c r="I118" s="312">
        <v>92060.52</v>
      </c>
    </row>
    <row r="119" spans="1:12" ht="18.75" x14ac:dyDescent="0.3">
      <c r="A119" s="339" t="s">
        <v>46</v>
      </c>
      <c r="B119" s="311" t="s">
        <v>14</v>
      </c>
      <c r="C119" s="312">
        <v>50428.99</v>
      </c>
      <c r="D119" s="312">
        <v>54506.75</v>
      </c>
      <c r="E119" s="312">
        <v>59259.46</v>
      </c>
      <c r="F119" s="312">
        <v>62874.29</v>
      </c>
      <c r="G119" s="323">
        <v>62874.29</v>
      </c>
      <c r="H119" s="312">
        <v>65389.26</v>
      </c>
      <c r="I119" s="312">
        <v>68004.83</v>
      </c>
    </row>
    <row r="120" spans="1:12" ht="56.25" x14ac:dyDescent="0.2">
      <c r="A120" s="314" t="s">
        <v>142</v>
      </c>
      <c r="B120" s="311" t="s">
        <v>14</v>
      </c>
      <c r="C120" s="312">
        <v>46861.04</v>
      </c>
      <c r="D120" s="312">
        <v>51475.519999999997</v>
      </c>
      <c r="E120" s="312">
        <v>54329.29</v>
      </c>
      <c r="F120" s="312">
        <v>57531.01</v>
      </c>
      <c r="G120" s="323">
        <v>57531.01</v>
      </c>
      <c r="H120" s="312">
        <v>59736.26</v>
      </c>
      <c r="I120" s="312">
        <v>62062.77</v>
      </c>
    </row>
    <row r="121" spans="1:12" ht="63" customHeight="1" x14ac:dyDescent="0.3">
      <c r="A121" s="340" t="s">
        <v>143</v>
      </c>
      <c r="B121" s="311" t="s">
        <v>14</v>
      </c>
      <c r="C121" s="312">
        <v>28184.63</v>
      </c>
      <c r="D121" s="312">
        <v>29435.11</v>
      </c>
      <c r="E121" s="312">
        <v>29537.79</v>
      </c>
      <c r="F121" s="312">
        <v>31339.599999999999</v>
      </c>
      <c r="G121" s="323">
        <v>31339.599999999999</v>
      </c>
      <c r="H121" s="312">
        <v>32593.18</v>
      </c>
      <c r="I121" s="312">
        <v>33896.910000000003</v>
      </c>
      <c r="L121" s="349"/>
    </row>
    <row r="122" spans="1:12" ht="18.75" x14ac:dyDescent="0.2">
      <c r="A122" s="314" t="s">
        <v>17</v>
      </c>
      <c r="B122" s="311" t="s">
        <v>14</v>
      </c>
      <c r="C122" s="312">
        <v>57262.11</v>
      </c>
      <c r="D122" s="312">
        <v>53701.87</v>
      </c>
      <c r="E122" s="312">
        <v>60493.71</v>
      </c>
      <c r="F122" s="312">
        <v>64183.82</v>
      </c>
      <c r="G122" s="312">
        <v>64183.82</v>
      </c>
      <c r="H122" s="312">
        <v>66751.179999999993</v>
      </c>
      <c r="I122" s="312">
        <v>69421.22</v>
      </c>
    </row>
    <row r="123" spans="1:12" ht="38.25" customHeight="1" x14ac:dyDescent="0.3">
      <c r="A123" s="338" t="s">
        <v>144</v>
      </c>
      <c r="B123" s="311" t="s">
        <v>14</v>
      </c>
      <c r="C123" s="312">
        <v>25994.53</v>
      </c>
      <c r="D123" s="312">
        <v>27066.5</v>
      </c>
      <c r="E123" s="312">
        <v>28300.62</v>
      </c>
      <c r="F123" s="312">
        <v>30026.959999999999</v>
      </c>
      <c r="G123" s="312">
        <v>30026.959999999999</v>
      </c>
      <c r="H123" s="312">
        <v>31228.04</v>
      </c>
      <c r="I123" s="312">
        <v>32477.16</v>
      </c>
    </row>
    <row r="124" spans="1:12" s="353" customFormat="1" ht="18.75" x14ac:dyDescent="0.2">
      <c r="A124" s="350" t="s">
        <v>171</v>
      </c>
      <c r="B124" s="350" t="s">
        <v>14</v>
      </c>
      <c r="C124" s="351">
        <v>66597.42</v>
      </c>
      <c r="D124" s="351">
        <v>67779.899999999994</v>
      </c>
      <c r="E124" s="351">
        <v>66664.72</v>
      </c>
      <c r="F124" s="351">
        <v>69918.789999999994</v>
      </c>
      <c r="G124" s="351">
        <v>69918.789999999994</v>
      </c>
      <c r="H124" s="352">
        <v>72182.77</v>
      </c>
      <c r="I124" s="352">
        <v>74537.3</v>
      </c>
    </row>
    <row r="125" spans="1:12" ht="37.5" x14ac:dyDescent="0.2">
      <c r="A125" s="314" t="s">
        <v>172</v>
      </c>
      <c r="B125" s="311" t="s">
        <v>14</v>
      </c>
      <c r="C125" s="312">
        <v>66799.570000000007</v>
      </c>
      <c r="D125" s="312">
        <v>70520.210000000006</v>
      </c>
      <c r="E125" s="312">
        <v>73185.27</v>
      </c>
      <c r="F125" s="312">
        <v>77649.570000000007</v>
      </c>
      <c r="G125" s="312">
        <v>77649.570000000007</v>
      </c>
      <c r="H125" s="312">
        <v>80755.55</v>
      </c>
      <c r="I125" s="312">
        <v>83985.78</v>
      </c>
    </row>
    <row r="126" spans="1:12" ht="56.25" x14ac:dyDescent="0.3">
      <c r="A126" s="338" t="s">
        <v>44</v>
      </c>
      <c r="B126" s="311" t="s">
        <v>14</v>
      </c>
      <c r="C126" s="312">
        <v>52447.81</v>
      </c>
      <c r="D126" s="312">
        <v>55443.95</v>
      </c>
      <c r="E126" s="312">
        <v>58090.91</v>
      </c>
      <c r="F126" s="312">
        <v>61187.32</v>
      </c>
      <c r="G126" s="312">
        <v>61187.32</v>
      </c>
      <c r="H126" s="312">
        <v>63634.81</v>
      </c>
      <c r="I126" s="312">
        <v>66180.210000000006</v>
      </c>
    </row>
    <row r="127" spans="1:12" ht="18.75" x14ac:dyDescent="0.3">
      <c r="A127" s="340" t="s">
        <v>48</v>
      </c>
      <c r="B127" s="311" t="s">
        <v>14</v>
      </c>
      <c r="C127" s="312">
        <v>40426.97</v>
      </c>
      <c r="D127" s="312">
        <v>44011.7</v>
      </c>
      <c r="E127" s="312">
        <v>47418.98</v>
      </c>
      <c r="F127" s="312">
        <v>50311.53</v>
      </c>
      <c r="G127" s="312">
        <v>50311.53</v>
      </c>
      <c r="H127" s="312">
        <v>52323.99</v>
      </c>
      <c r="I127" s="312">
        <v>54416.95</v>
      </c>
    </row>
    <row r="128" spans="1:12" ht="37.5" x14ac:dyDescent="0.3">
      <c r="A128" s="340" t="s">
        <v>49</v>
      </c>
      <c r="B128" s="311" t="s">
        <v>14</v>
      </c>
      <c r="C128" s="312">
        <v>47050.36</v>
      </c>
      <c r="D128" s="312">
        <v>48469.93</v>
      </c>
      <c r="E128" s="312">
        <v>51843.43</v>
      </c>
      <c r="F128" s="312">
        <v>54532.76</v>
      </c>
      <c r="G128" s="312">
        <v>54532.76</v>
      </c>
      <c r="H128" s="312">
        <v>56714.07</v>
      </c>
      <c r="I128" s="312">
        <v>58982.63</v>
      </c>
    </row>
    <row r="129" spans="1:18" ht="18.75" x14ac:dyDescent="0.3">
      <c r="A129" s="339" t="s">
        <v>51</v>
      </c>
      <c r="B129" s="311" t="s">
        <v>14</v>
      </c>
      <c r="C129" s="312">
        <v>42894.66</v>
      </c>
      <c r="D129" s="312">
        <v>45953.4</v>
      </c>
      <c r="E129" s="312">
        <v>52627.57</v>
      </c>
      <c r="F129" s="312">
        <v>51826.34</v>
      </c>
      <c r="G129" s="312">
        <v>51826.34</v>
      </c>
      <c r="H129" s="312">
        <v>50729.74</v>
      </c>
      <c r="I129" s="312">
        <v>52758.93</v>
      </c>
    </row>
    <row r="130" spans="1:18" ht="94.5" customHeight="1" x14ac:dyDescent="0.3">
      <c r="A130" s="346" t="s">
        <v>120</v>
      </c>
      <c r="B130" s="311" t="s">
        <v>14</v>
      </c>
      <c r="C130" s="351">
        <v>40021.4</v>
      </c>
      <c r="D130" s="351">
        <v>43254.7</v>
      </c>
      <c r="E130" s="351">
        <v>45329.5</v>
      </c>
      <c r="F130" s="351">
        <v>47545.8</v>
      </c>
      <c r="G130" s="351">
        <f>F130</f>
        <v>47545.8</v>
      </c>
      <c r="H130" s="351">
        <v>49433.55</v>
      </c>
      <c r="I130" s="351">
        <v>51425.599999999999</v>
      </c>
    </row>
    <row r="131" spans="1:18" ht="18.75" x14ac:dyDescent="0.3">
      <c r="A131" s="346" t="s">
        <v>119</v>
      </c>
      <c r="B131" s="311"/>
      <c r="C131" s="351"/>
      <c r="D131" s="312"/>
      <c r="E131" s="312"/>
      <c r="F131" s="312"/>
      <c r="G131" s="312"/>
      <c r="H131" s="312"/>
      <c r="I131" s="312"/>
    </row>
    <row r="132" spans="1:18" s="356" customFormat="1" ht="18.75" x14ac:dyDescent="0.2">
      <c r="A132" s="313" t="s">
        <v>48</v>
      </c>
      <c r="B132" s="354" t="s">
        <v>14</v>
      </c>
      <c r="C132" s="351">
        <v>44370.833930191475</v>
      </c>
      <c r="D132" s="351">
        <v>39332.959999999999</v>
      </c>
      <c r="E132" s="355">
        <v>45595.25</v>
      </c>
      <c r="F132" s="355">
        <v>48376.56</v>
      </c>
      <c r="G132" s="355">
        <v>48376.56</v>
      </c>
      <c r="H132" s="355">
        <v>50311.63</v>
      </c>
      <c r="I132" s="355">
        <v>52324.09</v>
      </c>
      <c r="R132" s="300"/>
    </row>
    <row r="133" spans="1:18" ht="18.75" x14ac:dyDescent="0.3">
      <c r="A133" s="339" t="s">
        <v>201</v>
      </c>
      <c r="B133" s="311" t="s">
        <v>14</v>
      </c>
      <c r="C133" s="351">
        <v>40083.909853249483</v>
      </c>
      <c r="D133" s="351">
        <v>43281.64</v>
      </c>
      <c r="E133" s="312">
        <v>45369</v>
      </c>
      <c r="F133" s="312">
        <v>48136.51</v>
      </c>
      <c r="G133" s="312">
        <v>48136.51</v>
      </c>
      <c r="H133" s="312">
        <v>50061.97</v>
      </c>
      <c r="I133" s="312">
        <v>52064.45</v>
      </c>
    </row>
    <row r="134" spans="1:18" ht="18.75" x14ac:dyDescent="0.3">
      <c r="A134" s="339" t="s">
        <v>202</v>
      </c>
      <c r="B134" s="311" t="s">
        <v>14</v>
      </c>
      <c r="C134" s="351">
        <v>46219.577294685987</v>
      </c>
      <c r="D134" s="351">
        <v>38551.83</v>
      </c>
      <c r="E134" s="312">
        <v>42629.2</v>
      </c>
      <c r="F134" s="312">
        <v>45229.58</v>
      </c>
      <c r="G134" s="312">
        <v>45229.58</v>
      </c>
      <c r="H134" s="312">
        <v>47038.76</v>
      </c>
      <c r="I134" s="312">
        <v>48920.31</v>
      </c>
    </row>
    <row r="135" spans="1:18" ht="18.75" x14ac:dyDescent="0.3">
      <c r="A135" s="339" t="s">
        <v>243</v>
      </c>
      <c r="B135" s="311" t="s">
        <v>14</v>
      </c>
      <c r="C135" s="351">
        <v>28389.051603905162</v>
      </c>
      <c r="D135" s="351">
        <v>43678.71</v>
      </c>
      <c r="E135" s="312">
        <v>48075.13</v>
      </c>
      <c r="F135" s="312">
        <v>51007.72</v>
      </c>
      <c r="G135" s="312">
        <v>51007.72</v>
      </c>
      <c r="H135" s="312">
        <v>53048.02</v>
      </c>
      <c r="I135" s="312">
        <v>55169.95</v>
      </c>
      <c r="R135" s="356"/>
    </row>
    <row r="136" spans="1:18" ht="18.75" x14ac:dyDescent="0.3">
      <c r="A136" s="339" t="s">
        <v>203</v>
      </c>
      <c r="B136" s="311" t="s">
        <v>14</v>
      </c>
      <c r="C136" s="351">
        <v>40674.838147881725</v>
      </c>
      <c r="D136" s="351">
        <v>44849.2</v>
      </c>
      <c r="E136" s="312">
        <v>45048.17</v>
      </c>
      <c r="F136" s="312">
        <v>46748.24</v>
      </c>
      <c r="G136" s="312">
        <v>46748.24</v>
      </c>
      <c r="H136" s="312">
        <v>48591.59</v>
      </c>
      <c r="I136" s="312">
        <v>50562.91</v>
      </c>
    </row>
    <row r="137" spans="1:18" ht="78" x14ac:dyDescent="0.2">
      <c r="A137" s="307" t="s">
        <v>73</v>
      </c>
      <c r="B137" s="311" t="s">
        <v>14</v>
      </c>
      <c r="C137" s="309">
        <v>26090.5</v>
      </c>
      <c r="D137" s="309">
        <v>26090.5</v>
      </c>
      <c r="E137" s="309">
        <v>27970.3</v>
      </c>
      <c r="F137" s="309">
        <v>29696.799999999999</v>
      </c>
      <c r="G137" s="309">
        <v>29696.799999999999</v>
      </c>
      <c r="H137" s="309">
        <v>30915.4</v>
      </c>
      <c r="I137" s="309">
        <v>32151.9</v>
      </c>
    </row>
    <row r="138" spans="1:18" ht="39" x14ac:dyDescent="0.2">
      <c r="A138" s="307" t="s">
        <v>77</v>
      </c>
      <c r="B138" s="311"/>
      <c r="C138" s="309">
        <v>7522.72</v>
      </c>
      <c r="D138" s="357">
        <v>7864.54</v>
      </c>
      <c r="E138" s="357">
        <v>8301.2199999999993</v>
      </c>
      <c r="F138" s="357">
        <v>8678.76</v>
      </c>
      <c r="G138" s="357">
        <v>8678.76</v>
      </c>
      <c r="H138" s="357">
        <v>8869.92</v>
      </c>
      <c r="I138" s="357">
        <v>9208.17</v>
      </c>
    </row>
    <row r="139" spans="1:18" ht="18.75" x14ac:dyDescent="0.2">
      <c r="A139" s="310" t="s">
        <v>28</v>
      </c>
      <c r="B139" s="311" t="s">
        <v>11</v>
      </c>
      <c r="C139" s="312"/>
      <c r="D139" s="312"/>
      <c r="E139" s="312"/>
      <c r="F139" s="312"/>
      <c r="G139" s="312"/>
      <c r="H139" s="312"/>
      <c r="I139" s="312"/>
    </row>
    <row r="140" spans="1:18" ht="56.25" x14ac:dyDescent="0.2">
      <c r="A140" s="310" t="s">
        <v>78</v>
      </c>
      <c r="B140" s="311"/>
      <c r="C140" s="312">
        <v>390.4</v>
      </c>
      <c r="D140" s="312">
        <v>390.45</v>
      </c>
      <c r="E140" s="312">
        <v>418.58</v>
      </c>
      <c r="F140" s="312">
        <v>444.4</v>
      </c>
      <c r="G140" s="312">
        <v>444.4</v>
      </c>
      <c r="H140" s="312">
        <v>462.65</v>
      </c>
      <c r="I140" s="312">
        <v>481.16</v>
      </c>
      <c r="K140" s="342">
        <v>1000</v>
      </c>
    </row>
    <row r="141" spans="1:18" ht="37.5" x14ac:dyDescent="0.2">
      <c r="A141" s="310" t="s">
        <v>83</v>
      </c>
      <c r="B141" s="311" t="s">
        <v>11</v>
      </c>
      <c r="C141" s="312">
        <v>82.5</v>
      </c>
      <c r="D141" s="312">
        <v>66.3</v>
      </c>
      <c r="E141" s="355">
        <v>71.3</v>
      </c>
      <c r="F141" s="355">
        <v>75.680000000000007</v>
      </c>
      <c r="G141" s="355">
        <v>75.680000000000007</v>
      </c>
      <c r="H141" s="355">
        <v>78.709999999999994</v>
      </c>
      <c r="I141" s="355">
        <v>81.86</v>
      </c>
    </row>
    <row r="142" spans="1:18" ht="37.5" x14ac:dyDescent="0.2">
      <c r="A142" s="310" t="s">
        <v>96</v>
      </c>
      <c r="B142" s="311" t="s">
        <v>11</v>
      </c>
      <c r="C142" s="355">
        <v>487.64315999999997</v>
      </c>
      <c r="D142" s="355">
        <v>528.29999999999995</v>
      </c>
      <c r="E142" s="351">
        <v>568.9</v>
      </c>
      <c r="F142" s="351">
        <v>598.5</v>
      </c>
      <c r="G142" s="351">
        <v>598.5</v>
      </c>
      <c r="H142" s="351">
        <v>622.4</v>
      </c>
      <c r="I142" s="351">
        <v>647.29999999999995</v>
      </c>
    </row>
    <row r="143" spans="1:18" ht="19.5" x14ac:dyDescent="0.2">
      <c r="A143" s="307" t="s">
        <v>29</v>
      </c>
      <c r="B143" s="311" t="s">
        <v>11</v>
      </c>
      <c r="C143" s="309">
        <v>85.5</v>
      </c>
      <c r="D143" s="309">
        <v>128</v>
      </c>
      <c r="E143" s="309">
        <f>D143/D138*E138</f>
        <v>135.10722305436806</v>
      </c>
      <c r="F143" s="309">
        <f t="shared" ref="F143:I143" si="20">E143/E138*F138</f>
        <v>141.25190793104235</v>
      </c>
      <c r="G143" s="309">
        <f t="shared" si="20"/>
        <v>141.25190793104235</v>
      </c>
      <c r="H143" s="309">
        <f t="shared" si="20"/>
        <v>144.36314902079459</v>
      </c>
      <c r="I143" s="309">
        <f t="shared" si="20"/>
        <v>149.86836610914307</v>
      </c>
    </row>
    <row r="144" spans="1:18" ht="19.5" x14ac:dyDescent="0.2">
      <c r="A144" s="307" t="s">
        <v>4</v>
      </c>
      <c r="B144" s="311" t="s">
        <v>11</v>
      </c>
      <c r="C144" s="309">
        <v>0</v>
      </c>
      <c r="D144" s="309">
        <v>0</v>
      </c>
      <c r="E144" s="309">
        <v>0</v>
      </c>
      <c r="F144" s="309">
        <v>0</v>
      </c>
      <c r="G144" s="309">
        <f t="shared" ref="G144" si="21">F144</f>
        <v>0</v>
      </c>
      <c r="H144" s="309">
        <v>0</v>
      </c>
      <c r="I144" s="309">
        <v>0</v>
      </c>
    </row>
    <row r="145" spans="1:18" ht="58.5" x14ac:dyDescent="0.2">
      <c r="A145" s="307" t="s">
        <v>106</v>
      </c>
      <c r="B145" s="311" t="s">
        <v>11</v>
      </c>
      <c r="C145" s="309">
        <f t="shared" ref="C145:I145" si="22">C138+C143</f>
        <v>7608.22</v>
      </c>
      <c r="D145" s="309">
        <f t="shared" si="22"/>
        <v>7992.54</v>
      </c>
      <c r="E145" s="309">
        <f t="shared" si="22"/>
        <v>8436.327223054368</v>
      </c>
      <c r="F145" s="309">
        <f t="shared" si="22"/>
        <v>8820.0119079310425</v>
      </c>
      <c r="G145" s="309">
        <f t="shared" si="22"/>
        <v>8820.0119079310425</v>
      </c>
      <c r="H145" s="309">
        <f t="shared" si="22"/>
        <v>9014.2831490207955</v>
      </c>
      <c r="I145" s="309">
        <f t="shared" si="22"/>
        <v>9358.0383661091437</v>
      </c>
    </row>
    <row r="146" spans="1:18" ht="18.75" x14ac:dyDescent="0.2">
      <c r="A146" s="366" t="s">
        <v>116</v>
      </c>
      <c r="B146" s="366"/>
      <c r="C146" s="366"/>
      <c r="D146" s="366"/>
      <c r="E146" s="366"/>
      <c r="F146" s="366"/>
      <c r="G146" s="366"/>
      <c r="H146" s="366"/>
      <c r="I146" s="366"/>
    </row>
    <row r="147" spans="1:18" ht="42.75" customHeight="1" x14ac:dyDescent="0.2">
      <c r="A147" s="337" t="s">
        <v>113</v>
      </c>
      <c r="B147" s="311" t="s">
        <v>11</v>
      </c>
      <c r="C147" s="358">
        <v>501</v>
      </c>
      <c r="D147" s="358">
        <v>539.70000000000005</v>
      </c>
      <c r="E147" s="358">
        <v>578.20000000000005</v>
      </c>
      <c r="F147" s="358">
        <v>609</v>
      </c>
      <c r="G147" s="358">
        <v>609</v>
      </c>
      <c r="H147" s="358">
        <v>645.70000000000005</v>
      </c>
      <c r="I147" s="358">
        <v>664.3</v>
      </c>
    </row>
    <row r="148" spans="1:18" ht="18.75" x14ac:dyDescent="0.2">
      <c r="A148" s="330" t="s">
        <v>28</v>
      </c>
      <c r="B148" s="311" t="s">
        <v>11</v>
      </c>
      <c r="C148" s="358"/>
      <c r="D148" s="358"/>
      <c r="E148" s="358"/>
      <c r="F148" s="358"/>
      <c r="G148" s="358"/>
      <c r="H148" s="358"/>
      <c r="I148" s="358"/>
    </row>
    <row r="149" spans="1:18" ht="18.75" x14ac:dyDescent="0.2">
      <c r="A149" s="359" t="s">
        <v>111</v>
      </c>
      <c r="B149" s="311" t="s">
        <v>11</v>
      </c>
      <c r="C149" s="358">
        <v>386.1</v>
      </c>
      <c r="D149" s="358">
        <v>421</v>
      </c>
      <c r="E149" s="358">
        <v>442.1</v>
      </c>
      <c r="F149" s="358">
        <v>464.1</v>
      </c>
      <c r="G149" s="358">
        <v>464.1</v>
      </c>
      <c r="H149" s="358">
        <v>480.8</v>
      </c>
      <c r="I149" s="358">
        <v>498.1</v>
      </c>
    </row>
    <row r="150" spans="1:18" ht="18.75" x14ac:dyDescent="0.2">
      <c r="A150" s="359" t="s">
        <v>112</v>
      </c>
      <c r="B150" s="311" t="s">
        <v>11</v>
      </c>
      <c r="C150" s="358"/>
      <c r="D150" s="358"/>
      <c r="E150" s="358"/>
      <c r="F150" s="358"/>
      <c r="G150" s="358"/>
      <c r="H150" s="358"/>
      <c r="I150" s="358"/>
    </row>
    <row r="151" spans="1:18" ht="18.75" x14ac:dyDescent="0.2">
      <c r="A151" s="360" t="s">
        <v>107</v>
      </c>
      <c r="B151" s="311" t="s">
        <v>11</v>
      </c>
      <c r="C151" s="358">
        <v>29.2</v>
      </c>
      <c r="D151" s="358">
        <v>21.3</v>
      </c>
      <c r="E151" s="358">
        <v>24.2</v>
      </c>
      <c r="F151" s="358">
        <v>24.3</v>
      </c>
      <c r="G151" s="358">
        <v>24.3</v>
      </c>
      <c r="H151" s="358">
        <v>24.4</v>
      </c>
      <c r="I151" s="358">
        <v>24.4</v>
      </c>
    </row>
    <row r="152" spans="1:18" ht="36" customHeight="1" x14ac:dyDescent="0.2">
      <c r="A152" s="361" t="s">
        <v>121</v>
      </c>
      <c r="B152" s="311" t="s">
        <v>11</v>
      </c>
      <c r="C152" s="358">
        <v>5111.8</v>
      </c>
      <c r="D152" s="358">
        <v>5111.8</v>
      </c>
      <c r="E152" s="358">
        <v>5111.8</v>
      </c>
      <c r="F152" s="358">
        <v>5111.8</v>
      </c>
      <c r="G152" s="358">
        <v>5111.8</v>
      </c>
      <c r="H152" s="358">
        <v>5111.8</v>
      </c>
      <c r="I152" s="358">
        <v>5111.8</v>
      </c>
    </row>
    <row r="153" spans="1:18" ht="18.75" x14ac:dyDescent="0.2">
      <c r="A153" s="361" t="s">
        <v>118</v>
      </c>
      <c r="B153" s="311" t="s">
        <v>11</v>
      </c>
      <c r="C153" s="362"/>
      <c r="D153" s="362"/>
      <c r="E153" s="362"/>
      <c r="F153" s="362"/>
      <c r="G153" s="362"/>
      <c r="H153" s="362"/>
      <c r="I153" s="362"/>
    </row>
    <row r="154" spans="1:18" ht="18.75" x14ac:dyDescent="0.2">
      <c r="A154" s="360" t="s">
        <v>108</v>
      </c>
      <c r="B154" s="311" t="s">
        <v>11</v>
      </c>
      <c r="C154" s="358">
        <v>14</v>
      </c>
      <c r="D154" s="358">
        <v>7.2</v>
      </c>
      <c r="E154" s="358">
        <v>14.4</v>
      </c>
      <c r="F154" s="358">
        <v>21.6</v>
      </c>
      <c r="G154" s="358">
        <v>21.6</v>
      </c>
      <c r="H154" s="358">
        <v>36</v>
      </c>
      <c r="I154" s="358">
        <v>36</v>
      </c>
    </row>
    <row r="155" spans="1:18" ht="31.5" x14ac:dyDescent="0.2">
      <c r="A155" s="361" t="s">
        <v>122</v>
      </c>
      <c r="B155" s="311" t="s">
        <v>11</v>
      </c>
      <c r="C155" s="358">
        <v>5252.1</v>
      </c>
      <c r="D155" s="358">
        <v>5252.1</v>
      </c>
      <c r="E155" s="358">
        <v>5252.1</v>
      </c>
      <c r="F155" s="358">
        <v>5252.1</v>
      </c>
      <c r="G155" s="358">
        <v>5252.1</v>
      </c>
      <c r="H155" s="358">
        <v>5252.1</v>
      </c>
      <c r="I155" s="358">
        <v>5252.1</v>
      </c>
    </row>
    <row r="156" spans="1:18" ht="18.75" x14ac:dyDescent="0.2">
      <c r="A156" s="359" t="s">
        <v>117</v>
      </c>
      <c r="B156" s="311"/>
      <c r="C156" s="358"/>
      <c r="D156" s="358"/>
      <c r="E156" s="358"/>
      <c r="F156" s="358"/>
      <c r="G156" s="358"/>
      <c r="H156" s="358"/>
      <c r="I156" s="358"/>
    </row>
    <row r="157" spans="1:18" ht="18.75" x14ac:dyDescent="0.2">
      <c r="A157" s="361" t="s">
        <v>109</v>
      </c>
      <c r="B157" s="311" t="s">
        <v>11</v>
      </c>
      <c r="C157" s="358">
        <v>9</v>
      </c>
      <c r="D157" s="358">
        <v>2.1</v>
      </c>
      <c r="E157" s="358">
        <v>0</v>
      </c>
      <c r="F157" s="358">
        <v>0</v>
      </c>
      <c r="G157" s="358">
        <v>0</v>
      </c>
      <c r="H157" s="358">
        <v>0</v>
      </c>
      <c r="I157" s="358">
        <v>0</v>
      </c>
    </row>
    <row r="158" spans="1:18" s="363" customFormat="1" ht="31.5" x14ac:dyDescent="0.2">
      <c r="A158" s="361" t="s">
        <v>110</v>
      </c>
      <c r="B158" s="311" t="s">
        <v>11</v>
      </c>
      <c r="C158" s="358">
        <v>0.1</v>
      </c>
      <c r="D158" s="358">
        <v>9.1</v>
      </c>
      <c r="E158" s="358">
        <v>9.3000000000000007</v>
      </c>
      <c r="F158" s="358">
        <v>9.5</v>
      </c>
      <c r="G158" s="358">
        <v>9.5</v>
      </c>
      <c r="H158" s="358">
        <v>9.6999999999999993</v>
      </c>
      <c r="I158" s="358">
        <v>9.6999999999999993</v>
      </c>
      <c r="R158" s="300"/>
    </row>
    <row r="160" spans="1:18" ht="18.75" x14ac:dyDescent="0.2">
      <c r="A160" s="364" t="s">
        <v>237</v>
      </c>
    </row>
    <row r="161" spans="1:18" ht="18.75" x14ac:dyDescent="0.2">
      <c r="A161" s="364" t="s">
        <v>238</v>
      </c>
      <c r="R161" s="363"/>
    </row>
    <row r="162" spans="1:18" ht="18.75" x14ac:dyDescent="0.2">
      <c r="A162" s="364" t="s">
        <v>279</v>
      </c>
    </row>
    <row r="166" spans="1:18" ht="15.75" x14ac:dyDescent="0.25">
      <c r="A166" s="365" t="s">
        <v>239</v>
      </c>
    </row>
  </sheetData>
  <mergeCells count="15">
    <mergeCell ref="A8:I8"/>
    <mergeCell ref="A23:I23"/>
    <mergeCell ref="A72:I72"/>
    <mergeCell ref="A146:I146"/>
    <mergeCell ref="H1:I1"/>
    <mergeCell ref="A3:I3"/>
    <mergeCell ref="A5:A7"/>
    <mergeCell ref="B5:B7"/>
    <mergeCell ref="C5:C7"/>
    <mergeCell ref="D5:D7"/>
    <mergeCell ref="E5:E7"/>
    <mergeCell ref="F5:I5"/>
    <mergeCell ref="F6:G6"/>
    <mergeCell ref="H6:H7"/>
    <mergeCell ref="I6:I7"/>
  </mergeCells>
  <pageMargins left="0.7" right="0.7" top="0.75" bottom="0.75" header="0.3" footer="0.3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P45"/>
  <sheetViews>
    <sheetView topLeftCell="A27" zoomScale="77" zoomScaleNormal="77" zoomScaleSheetLayoutView="56" workbookViewId="0">
      <selection activeCell="AB42" sqref="AB42"/>
    </sheetView>
  </sheetViews>
  <sheetFormatPr defaultColWidth="9.140625" defaultRowHeight="14.25" x14ac:dyDescent="0.2"/>
  <cols>
    <col min="1" max="1" width="43.42578125" style="70" customWidth="1"/>
    <col min="2" max="2" width="15.5703125" style="70" hidden="1" customWidth="1"/>
    <col min="3" max="3" width="9.7109375" style="70" hidden="1" customWidth="1"/>
    <col min="4" max="5" width="12.5703125" style="70" hidden="1" customWidth="1"/>
    <col min="6" max="6" width="11.85546875" style="70" hidden="1" customWidth="1"/>
    <col min="7" max="7" width="13" style="70" hidden="1" customWidth="1"/>
    <col min="8" max="8" width="13.42578125" style="70" hidden="1" customWidth="1"/>
    <col min="9" max="9" width="13.85546875" style="70" hidden="1" customWidth="1"/>
    <col min="10" max="10" width="0.28515625" style="70" hidden="1" customWidth="1"/>
    <col min="11" max="11" width="15.28515625" style="70" hidden="1" customWidth="1"/>
    <col min="12" max="12" width="13" style="70" hidden="1" customWidth="1"/>
    <col min="13" max="13" width="12.85546875" style="70" hidden="1" customWidth="1"/>
    <col min="14" max="14" width="12.42578125" style="70" hidden="1" customWidth="1"/>
    <col min="15" max="15" width="12.140625" style="70" hidden="1" customWidth="1"/>
    <col min="16" max="16" width="11.5703125" style="70" hidden="1" customWidth="1"/>
    <col min="17" max="18" width="9.140625" style="70" hidden="1" customWidth="1"/>
    <col min="19" max="19" width="10.28515625" style="70" hidden="1" customWidth="1"/>
    <col min="20" max="20" width="9" style="70" hidden="1" customWidth="1"/>
    <col min="21" max="21" width="9.28515625" style="70" hidden="1" customWidth="1"/>
    <col min="22" max="22" width="9.28515625" style="267" hidden="1" customWidth="1"/>
    <col min="23" max="23" width="11" style="70" customWidth="1"/>
    <col min="24" max="24" width="10.42578125" style="70" customWidth="1"/>
    <col min="25" max="25" width="12.28515625" style="70" customWidth="1"/>
    <col min="26" max="26" width="12.140625" style="70" customWidth="1"/>
    <col min="27" max="27" width="10.5703125" style="70" customWidth="1"/>
    <col min="28" max="28" width="11" style="70" customWidth="1"/>
    <col min="29" max="29" width="10.85546875" style="70" customWidth="1"/>
    <col min="30" max="30" width="11.28515625" style="70" customWidth="1"/>
    <col min="31" max="31" width="13" style="70" customWidth="1"/>
    <col min="32" max="32" width="11.42578125" style="70" customWidth="1"/>
    <col min="33" max="33" width="11.5703125" style="70" customWidth="1"/>
    <col min="34" max="34" width="11.85546875" style="70" customWidth="1"/>
    <col min="35" max="40" width="10.7109375" style="70" bestFit="1" customWidth="1"/>
    <col min="41" max="16384" width="9.140625" style="70"/>
  </cols>
  <sheetData>
    <row r="2" spans="1:42" ht="15" customHeight="1" x14ac:dyDescent="0.25">
      <c r="C2" s="380" t="s">
        <v>84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1" t="s">
        <v>280</v>
      </c>
      <c r="T2" s="382"/>
      <c r="U2" s="382"/>
      <c r="V2" s="38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381"/>
      <c r="AL2" s="382"/>
      <c r="AM2" s="382"/>
      <c r="AN2" s="382"/>
    </row>
    <row r="3" spans="1:42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254"/>
      <c r="W3" s="72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4"/>
    </row>
    <row r="4" spans="1:42" ht="15.75" thickBot="1" x14ac:dyDescent="0.25">
      <c r="A4" s="75"/>
      <c r="B4" s="383" t="s">
        <v>126</v>
      </c>
      <c r="C4" s="385" t="s">
        <v>6</v>
      </c>
      <c r="D4" s="385"/>
      <c r="E4" s="385"/>
      <c r="F4" s="385"/>
      <c r="G4" s="385"/>
      <c r="H4" s="385"/>
      <c r="I4" s="386"/>
      <c r="J4" s="387" t="s">
        <v>57</v>
      </c>
      <c r="K4" s="388"/>
      <c r="L4" s="388"/>
      <c r="M4" s="388"/>
      <c r="N4" s="388"/>
      <c r="O4" s="388"/>
      <c r="P4" s="388"/>
      <c r="Q4" s="385"/>
      <c r="R4" s="385"/>
      <c r="S4" s="385"/>
      <c r="T4" s="385"/>
      <c r="U4" s="385"/>
      <c r="V4" s="386"/>
      <c r="W4" s="389" t="s">
        <v>58</v>
      </c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76"/>
      <c r="AP4" s="76"/>
    </row>
    <row r="5" spans="1:42" ht="30.75" customHeight="1" x14ac:dyDescent="0.2">
      <c r="A5" s="77"/>
      <c r="B5" s="384"/>
      <c r="C5" s="375" t="s">
        <v>60</v>
      </c>
      <c r="D5" s="390"/>
      <c r="E5" s="390"/>
      <c r="F5" s="390"/>
      <c r="G5" s="390"/>
      <c r="H5" s="390"/>
      <c r="I5" s="390"/>
      <c r="J5" s="391" t="s">
        <v>1</v>
      </c>
      <c r="K5" s="392"/>
      <c r="L5" s="392"/>
      <c r="M5" s="392"/>
      <c r="N5" s="392"/>
      <c r="O5" s="392"/>
      <c r="P5" s="393"/>
      <c r="Q5" s="390" t="s">
        <v>68</v>
      </c>
      <c r="R5" s="390"/>
      <c r="S5" s="390"/>
      <c r="T5" s="390"/>
      <c r="U5" s="390"/>
      <c r="V5" s="394"/>
      <c r="W5" s="395" t="s">
        <v>0</v>
      </c>
      <c r="X5" s="396"/>
      <c r="Y5" s="396"/>
      <c r="Z5" s="396"/>
      <c r="AA5" s="396"/>
      <c r="AB5" s="396"/>
      <c r="AC5" s="395" t="s">
        <v>70</v>
      </c>
      <c r="AD5" s="396"/>
      <c r="AE5" s="396"/>
      <c r="AF5" s="396"/>
      <c r="AG5" s="396"/>
      <c r="AH5" s="396"/>
      <c r="AI5" s="395" t="s">
        <v>59</v>
      </c>
      <c r="AJ5" s="396"/>
      <c r="AK5" s="396"/>
      <c r="AL5" s="396"/>
      <c r="AM5" s="396"/>
      <c r="AN5" s="397"/>
      <c r="AO5" s="76"/>
    </row>
    <row r="6" spans="1:42" ht="13.9" customHeight="1" x14ac:dyDescent="0.2">
      <c r="A6" s="77"/>
      <c r="B6" s="384"/>
      <c r="C6" s="373" t="s">
        <v>241</v>
      </c>
      <c r="D6" s="373" t="s">
        <v>253</v>
      </c>
      <c r="E6" s="373" t="s">
        <v>262</v>
      </c>
      <c r="F6" s="371" t="s">
        <v>263</v>
      </c>
      <c r="G6" s="371" t="s">
        <v>264</v>
      </c>
      <c r="H6" s="371"/>
      <c r="I6" s="375"/>
      <c r="J6" s="376" t="s">
        <v>241</v>
      </c>
      <c r="K6" s="373" t="s">
        <v>253</v>
      </c>
      <c r="L6" s="373" t="s">
        <v>262</v>
      </c>
      <c r="M6" s="371" t="s">
        <v>263</v>
      </c>
      <c r="N6" s="371" t="s">
        <v>264</v>
      </c>
      <c r="O6" s="371"/>
      <c r="P6" s="372"/>
      <c r="Q6" s="378" t="s">
        <v>253</v>
      </c>
      <c r="R6" s="373" t="s">
        <v>262</v>
      </c>
      <c r="S6" s="371" t="s">
        <v>263</v>
      </c>
      <c r="T6" s="371" t="s">
        <v>264</v>
      </c>
      <c r="U6" s="371"/>
      <c r="V6" s="375"/>
      <c r="W6" s="373" t="s">
        <v>253</v>
      </c>
      <c r="X6" s="373" t="s">
        <v>262</v>
      </c>
      <c r="Y6" s="371" t="s">
        <v>263</v>
      </c>
      <c r="Z6" s="371" t="s">
        <v>264</v>
      </c>
      <c r="AA6" s="371"/>
      <c r="AB6" s="372"/>
      <c r="AC6" s="373" t="s">
        <v>253</v>
      </c>
      <c r="AD6" s="373" t="s">
        <v>262</v>
      </c>
      <c r="AE6" s="371" t="s">
        <v>263</v>
      </c>
      <c r="AF6" s="371" t="s">
        <v>264</v>
      </c>
      <c r="AG6" s="371"/>
      <c r="AH6" s="372"/>
      <c r="AI6" s="373" t="s">
        <v>253</v>
      </c>
      <c r="AJ6" s="373" t="s">
        <v>262</v>
      </c>
      <c r="AK6" s="371" t="s">
        <v>263</v>
      </c>
      <c r="AL6" s="371" t="s">
        <v>264</v>
      </c>
      <c r="AM6" s="371"/>
      <c r="AN6" s="372"/>
      <c r="AO6" s="76"/>
      <c r="AP6" s="76"/>
    </row>
    <row r="7" spans="1:42" ht="58.5" customHeight="1" x14ac:dyDescent="0.2">
      <c r="A7" s="78"/>
      <c r="B7" s="384"/>
      <c r="C7" s="374"/>
      <c r="D7" s="374"/>
      <c r="E7" s="374"/>
      <c r="F7" s="371"/>
      <c r="G7" s="215" t="s">
        <v>242</v>
      </c>
      <c r="H7" s="215" t="s">
        <v>254</v>
      </c>
      <c r="I7" s="216" t="s">
        <v>265</v>
      </c>
      <c r="J7" s="377"/>
      <c r="K7" s="374"/>
      <c r="L7" s="374"/>
      <c r="M7" s="371"/>
      <c r="N7" s="215" t="s">
        <v>242</v>
      </c>
      <c r="O7" s="215" t="s">
        <v>254</v>
      </c>
      <c r="P7" s="255" t="s">
        <v>265</v>
      </c>
      <c r="Q7" s="379"/>
      <c r="R7" s="374"/>
      <c r="S7" s="371"/>
      <c r="T7" s="215" t="s">
        <v>242</v>
      </c>
      <c r="U7" s="215" t="s">
        <v>254</v>
      </c>
      <c r="V7" s="215" t="s">
        <v>265</v>
      </c>
      <c r="W7" s="374"/>
      <c r="X7" s="374"/>
      <c r="Y7" s="371"/>
      <c r="Z7" s="215" t="s">
        <v>242</v>
      </c>
      <c r="AA7" s="215" t="s">
        <v>254</v>
      </c>
      <c r="AB7" s="255" t="s">
        <v>265</v>
      </c>
      <c r="AC7" s="374"/>
      <c r="AD7" s="374"/>
      <c r="AE7" s="371"/>
      <c r="AF7" s="215" t="s">
        <v>242</v>
      </c>
      <c r="AG7" s="215" t="s">
        <v>254</v>
      </c>
      <c r="AH7" s="255" t="s">
        <v>265</v>
      </c>
      <c r="AI7" s="374"/>
      <c r="AJ7" s="374"/>
      <c r="AK7" s="371"/>
      <c r="AL7" s="215" t="s">
        <v>242</v>
      </c>
      <c r="AM7" s="215" t="s">
        <v>254</v>
      </c>
      <c r="AN7" s="255" t="s">
        <v>265</v>
      </c>
      <c r="AO7" s="76"/>
      <c r="AP7" s="76"/>
    </row>
    <row r="8" spans="1:42" ht="42.75" x14ac:dyDescent="0.2">
      <c r="A8" s="79" t="s">
        <v>163</v>
      </c>
      <c r="B8" s="80"/>
      <c r="C8" s="81">
        <f>C9+C12</f>
        <v>3758.3300000000004</v>
      </c>
      <c r="D8" s="82">
        <f>D9+D12</f>
        <v>3401.2449999999999</v>
      </c>
      <c r="E8" s="82">
        <f>E9+E12</f>
        <v>4091.6985</v>
      </c>
      <c r="F8" s="82">
        <f t="shared" ref="F8:I8" si="0">F9+F12</f>
        <v>4091.6985</v>
      </c>
      <c r="G8" s="82">
        <f t="shared" si="0"/>
        <v>4329.0170143971172</v>
      </c>
      <c r="H8" s="82">
        <f t="shared" si="0"/>
        <v>4493.5196639779469</v>
      </c>
      <c r="I8" s="83">
        <f t="shared" si="0"/>
        <v>4646.2993238910713</v>
      </c>
      <c r="J8" s="256">
        <f>J9+J12</f>
        <v>3758.3300000000004</v>
      </c>
      <c r="K8" s="82">
        <f>K9+K12</f>
        <v>3468.5092</v>
      </c>
      <c r="L8" s="82">
        <f>L9+L12</f>
        <v>4100.1417000000001</v>
      </c>
      <c r="M8" s="82">
        <f t="shared" ref="M8:P8" si="1">M9+M12</f>
        <v>4100.1417000000001</v>
      </c>
      <c r="N8" s="82">
        <f t="shared" si="1"/>
        <v>4337.94992</v>
      </c>
      <c r="O8" s="82">
        <f t="shared" si="1"/>
        <v>4502.7920199999999</v>
      </c>
      <c r="P8" s="219">
        <f t="shared" si="1"/>
        <v>4655.8869400000003</v>
      </c>
      <c r="Q8" s="230">
        <f>Q9+Q12</f>
        <v>212.53700000000001</v>
      </c>
      <c r="R8" s="82">
        <f>R9+R12</f>
        <v>253.86</v>
      </c>
      <c r="S8" s="82">
        <f>S9+S12</f>
        <v>0</v>
      </c>
      <c r="T8" s="82">
        <f t="shared" ref="T8:V8" si="2">T9+T12</f>
        <v>143.78613000000001</v>
      </c>
      <c r="U8" s="82">
        <f t="shared" si="2"/>
        <v>149.25001</v>
      </c>
      <c r="V8" s="231">
        <f t="shared" si="2"/>
        <v>154.32451</v>
      </c>
      <c r="W8" s="81">
        <f>W9+W12</f>
        <v>1489.1000000000001</v>
      </c>
      <c r="X8" s="82">
        <f>X9+X12</f>
        <v>1210</v>
      </c>
      <c r="Y8" s="82">
        <f t="shared" ref="Y8:AB8" si="3">Y9+Y12</f>
        <v>1168</v>
      </c>
      <c r="Z8" s="82">
        <f t="shared" si="3"/>
        <v>1215</v>
      </c>
      <c r="AA8" s="82">
        <f t="shared" si="3"/>
        <v>1215</v>
      </c>
      <c r="AB8" s="83">
        <f t="shared" si="3"/>
        <v>1215</v>
      </c>
      <c r="AC8" s="81">
        <f>AI8/W8/12*1000000</f>
        <v>69930.953819980758</v>
      </c>
      <c r="AD8" s="82">
        <f t="shared" ref="AD8:AH8" si="4">AJ8/X8/12*1000000</f>
        <v>83143.195592286502</v>
      </c>
      <c r="AE8" s="82">
        <f t="shared" si="4"/>
        <v>97360.088470319621</v>
      </c>
      <c r="AF8" s="82">
        <f t="shared" si="4"/>
        <v>96913.511659807948</v>
      </c>
      <c r="AG8" s="82">
        <f t="shared" si="4"/>
        <v>99055.30315500687</v>
      </c>
      <c r="AH8" s="83">
        <f t="shared" si="4"/>
        <v>103017.49314128944</v>
      </c>
      <c r="AI8" s="84">
        <f>AI9+AI12</f>
        <v>1249.6102000000001</v>
      </c>
      <c r="AJ8" s="85">
        <f>AJ9+AJ12</f>
        <v>1207.2392</v>
      </c>
      <c r="AK8" s="85">
        <f t="shared" ref="AK8:AM8" si="5">AK9+AK12</f>
        <v>1364.5989999999999</v>
      </c>
      <c r="AL8" s="85">
        <f t="shared" si="5"/>
        <v>1412.999</v>
      </c>
      <c r="AM8" s="85">
        <f t="shared" si="5"/>
        <v>1444.22632</v>
      </c>
      <c r="AN8" s="86">
        <f>AN9+AN12</f>
        <v>1501.99505</v>
      </c>
      <c r="AO8" s="87"/>
      <c r="AP8" s="76"/>
    </row>
    <row r="9" spans="1:42" ht="60" x14ac:dyDescent="0.2">
      <c r="A9" s="88" t="s">
        <v>164</v>
      </c>
      <c r="B9" s="89"/>
      <c r="C9" s="90">
        <v>290.82</v>
      </c>
      <c r="D9" s="91">
        <v>262.44600000000003</v>
      </c>
      <c r="E9" s="91">
        <v>0</v>
      </c>
      <c r="F9" s="91">
        <v>0</v>
      </c>
      <c r="G9" s="91">
        <v>0</v>
      </c>
      <c r="H9" s="91">
        <v>0</v>
      </c>
      <c r="I9" s="92">
        <v>0</v>
      </c>
      <c r="J9" s="257">
        <v>290.82</v>
      </c>
      <c r="K9" s="91">
        <v>262.44600000000003</v>
      </c>
      <c r="L9" s="91">
        <v>0</v>
      </c>
      <c r="M9" s="91">
        <v>0</v>
      </c>
      <c r="N9" s="91">
        <v>0</v>
      </c>
      <c r="O9" s="91">
        <v>0</v>
      </c>
      <c r="P9" s="220">
        <v>0</v>
      </c>
      <c r="Q9" s="232">
        <v>0</v>
      </c>
      <c r="R9" s="94">
        <v>0</v>
      </c>
      <c r="S9" s="94">
        <v>0</v>
      </c>
      <c r="T9" s="94">
        <v>0</v>
      </c>
      <c r="U9" s="94">
        <v>0</v>
      </c>
      <c r="V9" s="233">
        <v>0</v>
      </c>
      <c r="W9" s="90">
        <f>W11</f>
        <v>52.2</v>
      </c>
      <c r="X9" s="90">
        <f t="shared" ref="X9:AB9" si="6">X11</f>
        <v>0</v>
      </c>
      <c r="Y9" s="90">
        <f t="shared" si="6"/>
        <v>0</v>
      </c>
      <c r="Z9" s="90">
        <f t="shared" si="6"/>
        <v>0</v>
      </c>
      <c r="AA9" s="90">
        <f t="shared" si="6"/>
        <v>0</v>
      </c>
      <c r="AB9" s="90">
        <f t="shared" si="6"/>
        <v>0</v>
      </c>
      <c r="AC9" s="90">
        <f t="shared" ref="AC9:AH36" si="7">AI9/W9/12*1000000</f>
        <v>25908.365261813535</v>
      </c>
      <c r="AD9" s="91">
        <v>0</v>
      </c>
      <c r="AE9" s="91">
        <v>0</v>
      </c>
      <c r="AF9" s="91">
        <v>0</v>
      </c>
      <c r="AG9" s="91">
        <v>0</v>
      </c>
      <c r="AH9" s="92">
        <v>0</v>
      </c>
      <c r="AI9" s="90">
        <v>16.228999999999999</v>
      </c>
      <c r="AJ9" s="91">
        <v>0</v>
      </c>
      <c r="AK9" s="91">
        <v>0</v>
      </c>
      <c r="AL9" s="91">
        <v>0</v>
      </c>
      <c r="AM9" s="91">
        <v>0</v>
      </c>
      <c r="AN9" s="93">
        <v>0</v>
      </c>
      <c r="AO9" s="87"/>
      <c r="AP9" s="76"/>
    </row>
    <row r="10" spans="1:42" ht="15" x14ac:dyDescent="0.2">
      <c r="A10" s="95" t="s">
        <v>165</v>
      </c>
      <c r="B10" s="96" t="s">
        <v>204</v>
      </c>
      <c r="C10" s="97" t="s">
        <v>204</v>
      </c>
      <c r="D10" s="98"/>
      <c r="E10" s="98"/>
      <c r="F10" s="98"/>
      <c r="G10" s="98"/>
      <c r="H10" s="98"/>
      <c r="I10" s="99"/>
      <c r="J10" s="258" t="s">
        <v>204</v>
      </c>
      <c r="K10" s="98"/>
      <c r="L10" s="98"/>
      <c r="M10" s="98"/>
      <c r="N10" s="98"/>
      <c r="O10" s="98"/>
      <c r="P10" s="221"/>
      <c r="Q10" s="234"/>
      <c r="R10" s="98"/>
      <c r="S10" s="98"/>
      <c r="T10" s="98"/>
      <c r="U10" s="98"/>
      <c r="V10" s="235"/>
      <c r="W10" s="100" t="s">
        <v>204</v>
      </c>
      <c r="X10" s="101"/>
      <c r="Y10" s="101"/>
      <c r="Z10" s="101"/>
      <c r="AA10" s="101"/>
      <c r="AB10" s="96"/>
      <c r="AC10" s="81"/>
      <c r="AD10" s="82"/>
      <c r="AE10" s="82"/>
      <c r="AF10" s="82"/>
      <c r="AG10" s="82"/>
      <c r="AH10" s="83"/>
      <c r="AI10" s="100" t="s">
        <v>204</v>
      </c>
      <c r="AJ10" s="101"/>
      <c r="AK10" s="101"/>
      <c r="AL10" s="101"/>
      <c r="AM10" s="101"/>
      <c r="AN10" s="102"/>
      <c r="AO10" s="87"/>
      <c r="AP10" s="76"/>
    </row>
    <row r="11" spans="1:42" ht="15" x14ac:dyDescent="0.2">
      <c r="A11" s="95" t="s">
        <v>205</v>
      </c>
      <c r="B11" s="103" t="s">
        <v>206</v>
      </c>
      <c r="C11" s="104">
        <f>C9</f>
        <v>290.82</v>
      </c>
      <c r="D11" s="105">
        <v>262.44600000000003</v>
      </c>
      <c r="E11" s="105">
        <v>0</v>
      </c>
      <c r="F11" s="105">
        <v>0</v>
      </c>
      <c r="G11" s="105">
        <v>0</v>
      </c>
      <c r="H11" s="105">
        <v>0</v>
      </c>
      <c r="I11" s="106">
        <v>0</v>
      </c>
      <c r="J11" s="259">
        <f t="shared" ref="J11" si="8">J9</f>
        <v>290.82</v>
      </c>
      <c r="K11" s="107">
        <v>262.45</v>
      </c>
      <c r="L11" s="107">
        <v>0</v>
      </c>
      <c r="M11" s="107">
        <v>0</v>
      </c>
      <c r="N11" s="107">
        <v>0</v>
      </c>
      <c r="O11" s="107">
        <v>0</v>
      </c>
      <c r="P11" s="222">
        <v>0</v>
      </c>
      <c r="Q11" s="105">
        <f t="shared" ref="Q11" si="9">Q9</f>
        <v>0</v>
      </c>
      <c r="R11" s="107">
        <v>0</v>
      </c>
      <c r="S11" s="107">
        <v>0</v>
      </c>
      <c r="T11" s="107">
        <v>0</v>
      </c>
      <c r="U11" s="107">
        <v>0</v>
      </c>
      <c r="V11" s="236">
        <v>0</v>
      </c>
      <c r="W11" s="104">
        <v>52.2</v>
      </c>
      <c r="X11" s="107">
        <v>0</v>
      </c>
      <c r="Y11" s="107">
        <v>0</v>
      </c>
      <c r="Z11" s="107">
        <v>0</v>
      </c>
      <c r="AA11" s="107">
        <v>0</v>
      </c>
      <c r="AB11" s="108">
        <v>0</v>
      </c>
      <c r="AC11" s="104">
        <f t="shared" ref="AC11:AI11" si="10">AC9</f>
        <v>25908.365261813535</v>
      </c>
      <c r="AD11" s="107">
        <f t="shared" si="10"/>
        <v>0</v>
      </c>
      <c r="AE11" s="107">
        <f t="shared" si="10"/>
        <v>0</v>
      </c>
      <c r="AF11" s="107">
        <f t="shared" si="10"/>
        <v>0</v>
      </c>
      <c r="AG11" s="107">
        <f t="shared" si="10"/>
        <v>0</v>
      </c>
      <c r="AH11" s="108">
        <f t="shared" si="10"/>
        <v>0</v>
      </c>
      <c r="AI11" s="104">
        <f t="shared" si="10"/>
        <v>16.228999999999999</v>
      </c>
      <c r="AJ11" s="107">
        <v>0</v>
      </c>
      <c r="AK11" s="107">
        <v>0</v>
      </c>
      <c r="AL11" s="107">
        <v>0</v>
      </c>
      <c r="AM11" s="107">
        <v>0</v>
      </c>
      <c r="AN11" s="109">
        <v>0</v>
      </c>
      <c r="AO11" s="87"/>
      <c r="AP11" s="76"/>
    </row>
    <row r="12" spans="1:42" ht="15" x14ac:dyDescent="0.2">
      <c r="A12" s="88" t="s">
        <v>166</v>
      </c>
      <c r="B12" s="89"/>
      <c r="C12" s="90">
        <v>3467.51</v>
      </c>
      <c r="D12" s="91">
        <v>3138.799</v>
      </c>
      <c r="E12" s="217">
        <v>4091.6985</v>
      </c>
      <c r="F12" s="91">
        <f>(E12/L12)*M12</f>
        <v>4091.6985</v>
      </c>
      <c r="G12" s="91">
        <f>(F12/M12)*N12</f>
        <v>4329.0170143971172</v>
      </c>
      <c r="H12" s="91">
        <f t="shared" ref="H12:I12" si="11">(G12/N12)*O12</f>
        <v>4493.5196639779469</v>
      </c>
      <c r="I12" s="91">
        <f t="shared" si="11"/>
        <v>4646.2993238910713</v>
      </c>
      <c r="J12" s="257">
        <v>3467.51</v>
      </c>
      <c r="K12" s="91">
        <v>3206.0632000000001</v>
      </c>
      <c r="L12" s="91">
        <v>4100.1417000000001</v>
      </c>
      <c r="M12" s="91">
        <v>4100.1417000000001</v>
      </c>
      <c r="N12" s="91">
        <v>4337.94992</v>
      </c>
      <c r="O12" s="91">
        <v>4502.7920199999999</v>
      </c>
      <c r="P12" s="220">
        <v>4655.8869400000003</v>
      </c>
      <c r="Q12" s="232">
        <v>212.53700000000001</v>
      </c>
      <c r="R12" s="94">
        <v>253.86</v>
      </c>
      <c r="S12" s="94">
        <v>0</v>
      </c>
      <c r="T12" s="94">
        <v>143.78613000000001</v>
      </c>
      <c r="U12" s="94">
        <v>149.25001</v>
      </c>
      <c r="V12" s="233">
        <v>154.32451</v>
      </c>
      <c r="W12" s="90">
        <v>1436.9</v>
      </c>
      <c r="X12" s="91">
        <v>1210</v>
      </c>
      <c r="Y12" s="91">
        <v>1168</v>
      </c>
      <c r="Z12" s="91">
        <v>1215</v>
      </c>
      <c r="AA12" s="91">
        <v>1215</v>
      </c>
      <c r="AB12" s="92">
        <v>1215</v>
      </c>
      <c r="AC12" s="90">
        <f t="shared" si="7"/>
        <v>71530.215510241949</v>
      </c>
      <c r="AD12" s="91">
        <f t="shared" si="7"/>
        <v>83143.195592286502</v>
      </c>
      <c r="AE12" s="91">
        <f t="shared" si="7"/>
        <v>97360.088470319621</v>
      </c>
      <c r="AF12" s="91">
        <f t="shared" si="7"/>
        <v>96913.511659807948</v>
      </c>
      <c r="AG12" s="91">
        <f t="shared" si="7"/>
        <v>99055.30315500687</v>
      </c>
      <c r="AH12" s="92">
        <f t="shared" si="7"/>
        <v>103017.49314128944</v>
      </c>
      <c r="AI12" s="90">
        <v>1233.3812</v>
      </c>
      <c r="AJ12" s="91">
        <v>1207.2392</v>
      </c>
      <c r="AK12" s="91">
        <v>1364.5989999999999</v>
      </c>
      <c r="AL12" s="91">
        <v>1412.999</v>
      </c>
      <c r="AM12" s="91">
        <v>1444.22632</v>
      </c>
      <c r="AN12" s="93">
        <v>1501.99505</v>
      </c>
      <c r="AO12" s="87"/>
      <c r="AP12" s="76"/>
    </row>
    <row r="13" spans="1:42" ht="15" x14ac:dyDescent="0.2">
      <c r="A13" s="95" t="s">
        <v>165</v>
      </c>
      <c r="B13" s="96" t="s">
        <v>53</v>
      </c>
      <c r="C13" s="97" t="s">
        <v>53</v>
      </c>
      <c r="D13" s="98"/>
      <c r="E13" s="98"/>
      <c r="F13" s="98"/>
      <c r="G13" s="98"/>
      <c r="H13" s="98"/>
      <c r="I13" s="99"/>
      <c r="J13" s="258" t="s">
        <v>53</v>
      </c>
      <c r="K13" s="98"/>
      <c r="L13" s="98"/>
      <c r="M13" s="98"/>
      <c r="N13" s="98"/>
      <c r="O13" s="98"/>
      <c r="P13" s="221"/>
      <c r="Q13" s="234"/>
      <c r="R13" s="98"/>
      <c r="S13" s="98"/>
      <c r="T13" s="98"/>
      <c r="U13" s="98"/>
      <c r="V13" s="235"/>
      <c r="W13" s="100" t="s">
        <v>53</v>
      </c>
      <c r="X13" s="101"/>
      <c r="Y13" s="101"/>
      <c r="Z13" s="101"/>
      <c r="AA13" s="101"/>
      <c r="AB13" s="96"/>
      <c r="AC13" s="81"/>
      <c r="AD13" s="82"/>
      <c r="AE13" s="82"/>
      <c r="AF13" s="82"/>
      <c r="AG13" s="82"/>
      <c r="AH13" s="83"/>
      <c r="AI13" s="100" t="s">
        <v>53</v>
      </c>
      <c r="AJ13" s="101"/>
      <c r="AK13" s="101"/>
      <c r="AL13" s="101"/>
      <c r="AM13" s="101"/>
      <c r="AN13" s="102"/>
      <c r="AO13" s="87"/>
      <c r="AP13" s="76"/>
    </row>
    <row r="14" spans="1:42" ht="15" x14ac:dyDescent="0.2">
      <c r="A14" s="95" t="s">
        <v>207</v>
      </c>
      <c r="B14" s="103" t="s">
        <v>208</v>
      </c>
      <c r="C14" s="104"/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6">
        <v>0</v>
      </c>
      <c r="J14" s="259"/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222">
        <v>0</v>
      </c>
      <c r="Q14" s="237">
        <v>0</v>
      </c>
      <c r="R14" s="110">
        <v>0</v>
      </c>
      <c r="S14" s="110">
        <v>0</v>
      </c>
      <c r="T14" s="110">
        <v>0</v>
      </c>
      <c r="U14" s="110">
        <v>0</v>
      </c>
      <c r="V14" s="238">
        <v>0</v>
      </c>
      <c r="W14" s="104">
        <f>460+562</f>
        <v>1022</v>
      </c>
      <c r="X14" s="107">
        <f>447+550</f>
        <v>997</v>
      </c>
      <c r="Y14" s="107">
        <f>405+550</f>
        <v>955</v>
      </c>
      <c r="Z14" s="107">
        <f>446+556</f>
        <v>1002</v>
      </c>
      <c r="AA14" s="107">
        <f>446+556</f>
        <v>1002</v>
      </c>
      <c r="AB14" s="108">
        <f>446+556</f>
        <v>1002</v>
      </c>
      <c r="AC14" s="104">
        <f t="shared" ref="AC14:AH14" si="12">AI14/W14/12*1000000</f>
        <v>84947.977821265493</v>
      </c>
      <c r="AD14" s="107">
        <f t="shared" si="12"/>
        <v>88503.52724841189</v>
      </c>
      <c r="AE14" s="107">
        <f t="shared" si="12"/>
        <v>106127.05061082022</v>
      </c>
      <c r="AF14" s="107">
        <f t="shared" si="12"/>
        <v>105174.31803060546</v>
      </c>
      <c r="AG14" s="107">
        <f t="shared" si="12"/>
        <v>107277.77777777777</v>
      </c>
      <c r="AH14" s="108">
        <f t="shared" si="12"/>
        <v>111568.86227544909</v>
      </c>
      <c r="AI14" s="104">
        <f>498.9191+542.8829</f>
        <v>1041.8019999999999</v>
      </c>
      <c r="AJ14" s="107">
        <f>498.8575+559.9987</f>
        <v>1058.8561999999999</v>
      </c>
      <c r="AK14" s="107">
        <f>528.788+687.428</f>
        <v>1216.2159999999999</v>
      </c>
      <c r="AL14" s="107">
        <f>549.12+715.496</f>
        <v>1264.616</v>
      </c>
      <c r="AM14" s="107">
        <f>560.102+729.806</f>
        <v>1289.9079999999999</v>
      </c>
      <c r="AN14" s="109">
        <f>582.506+758.998</f>
        <v>1341.5039999999999</v>
      </c>
      <c r="AO14" s="87"/>
      <c r="AP14" s="76"/>
    </row>
    <row r="15" spans="1:42" ht="15" hidden="1" x14ac:dyDescent="0.2">
      <c r="A15" s="95" t="s">
        <v>244</v>
      </c>
      <c r="B15" s="103" t="s">
        <v>245</v>
      </c>
      <c r="C15" s="104"/>
      <c r="D15" s="105">
        <v>710.15</v>
      </c>
      <c r="E15" s="105"/>
      <c r="F15" s="105"/>
      <c r="G15" s="105"/>
      <c r="H15" s="105"/>
      <c r="I15" s="105"/>
      <c r="J15" s="259"/>
      <c r="K15" s="107">
        <v>727.7</v>
      </c>
      <c r="L15" s="107"/>
      <c r="M15" s="107"/>
      <c r="N15" s="107"/>
      <c r="O15" s="107"/>
      <c r="P15" s="107"/>
      <c r="Q15" s="237">
        <v>212.54</v>
      </c>
      <c r="R15" s="110"/>
      <c r="S15" s="110"/>
      <c r="T15" s="110"/>
      <c r="U15" s="110"/>
      <c r="V15" s="238"/>
      <c r="W15" s="104">
        <v>238</v>
      </c>
      <c r="X15" s="107"/>
      <c r="Y15" s="107"/>
      <c r="Z15" s="107"/>
      <c r="AA15" s="107"/>
      <c r="AB15" s="107"/>
      <c r="AC15" s="104"/>
      <c r="AD15" s="107">
        <v>0</v>
      </c>
      <c r="AE15" s="107">
        <v>0</v>
      </c>
      <c r="AF15" s="107">
        <v>0</v>
      </c>
      <c r="AG15" s="107">
        <v>0</v>
      </c>
      <c r="AH15" s="108">
        <v>0</v>
      </c>
      <c r="AI15" s="104">
        <v>130.88</v>
      </c>
      <c r="AJ15" s="107">
        <v>148.4</v>
      </c>
      <c r="AK15" s="107">
        <v>0</v>
      </c>
      <c r="AL15" s="107">
        <v>0</v>
      </c>
      <c r="AM15" s="107">
        <v>0</v>
      </c>
      <c r="AN15" s="109">
        <v>0</v>
      </c>
      <c r="AO15" s="87"/>
      <c r="AP15" s="76"/>
    </row>
    <row r="16" spans="1:42" s="121" customFormat="1" ht="15" x14ac:dyDescent="0.25">
      <c r="A16" s="111" t="s">
        <v>45</v>
      </c>
      <c r="B16" s="89"/>
      <c r="C16" s="112"/>
      <c r="D16" s="113">
        <v>65.733000000000004</v>
      </c>
      <c r="E16" s="113">
        <v>199.34139999999999</v>
      </c>
      <c r="F16" s="114">
        <f t="shared" ref="F16:I17" si="13">(E16/L16)*M16</f>
        <v>232.43207000000001</v>
      </c>
      <c r="G16" s="114">
        <f t="shared" si="13"/>
        <v>245.91313</v>
      </c>
      <c r="H16" s="114">
        <f t="shared" si="13"/>
        <v>255.25783000000001</v>
      </c>
      <c r="I16" s="115">
        <f t="shared" si="13"/>
        <v>263.9366</v>
      </c>
      <c r="J16" s="260"/>
      <c r="K16" s="113">
        <v>65.733000000000004</v>
      </c>
      <c r="L16" s="113">
        <v>199.34139999999999</v>
      </c>
      <c r="M16" s="113">
        <v>232.43207000000001</v>
      </c>
      <c r="N16" s="113">
        <v>245.91313</v>
      </c>
      <c r="O16" s="113">
        <v>255.25783000000001</v>
      </c>
      <c r="P16" s="223">
        <v>263.9366</v>
      </c>
      <c r="Q16" s="239"/>
      <c r="R16" s="114"/>
      <c r="S16" s="114"/>
      <c r="T16" s="114"/>
      <c r="U16" s="114"/>
      <c r="V16" s="240"/>
      <c r="W16" s="112">
        <v>43</v>
      </c>
      <c r="X16" s="113">
        <v>43</v>
      </c>
      <c r="Y16" s="113">
        <v>43</v>
      </c>
      <c r="Z16" s="113">
        <v>43</v>
      </c>
      <c r="AA16" s="113">
        <v>43</v>
      </c>
      <c r="AB16" s="118">
        <v>43</v>
      </c>
      <c r="AC16" s="81">
        <f t="shared" si="7"/>
        <v>0</v>
      </c>
      <c r="AD16" s="82">
        <f t="shared" si="7"/>
        <v>155593.02325581395</v>
      </c>
      <c r="AE16" s="82">
        <f t="shared" si="7"/>
        <v>108984.49612403099</v>
      </c>
      <c r="AF16" s="82">
        <f t="shared" si="7"/>
        <v>115631.78294573644</v>
      </c>
      <c r="AG16" s="82">
        <f t="shared" si="7"/>
        <v>120257.75193798449</v>
      </c>
      <c r="AH16" s="83">
        <f t="shared" si="7"/>
        <v>125067.82945736434</v>
      </c>
      <c r="AI16" s="112">
        <v>0</v>
      </c>
      <c r="AJ16" s="113">
        <v>80.286000000000001</v>
      </c>
      <c r="AK16" s="113">
        <v>56.235999999999997</v>
      </c>
      <c r="AL16" s="113">
        <v>59.665999999999997</v>
      </c>
      <c r="AM16" s="113">
        <v>62.052999999999997</v>
      </c>
      <c r="AN16" s="116">
        <v>64.534999999999997</v>
      </c>
      <c r="AO16" s="119"/>
      <c r="AP16" s="120"/>
    </row>
    <row r="17" spans="1:42" s="121" customFormat="1" ht="28.5" x14ac:dyDescent="0.25">
      <c r="A17" s="111" t="s">
        <v>167</v>
      </c>
      <c r="B17" s="89"/>
      <c r="C17" s="112">
        <v>279.27999999999997</v>
      </c>
      <c r="D17" s="113">
        <v>1605.3420000000001</v>
      </c>
      <c r="E17" s="218">
        <v>1404.67425</v>
      </c>
      <c r="F17" s="113">
        <f t="shared" si="13"/>
        <v>1637.8501749897409</v>
      </c>
      <c r="G17" s="113">
        <f t="shared" si="13"/>
        <v>1732.8454855927098</v>
      </c>
      <c r="H17" s="113">
        <f t="shared" si="13"/>
        <v>1798.6936201305459</v>
      </c>
      <c r="I17" s="118">
        <f t="shared" si="13"/>
        <v>1859.8492033661723</v>
      </c>
      <c r="J17" s="260">
        <v>279.27999999999997</v>
      </c>
      <c r="K17" s="113">
        <v>1605.3420000000001</v>
      </c>
      <c r="L17" s="113">
        <v>1486.5466899999999</v>
      </c>
      <c r="M17" s="113">
        <v>1733.3134399999999</v>
      </c>
      <c r="N17" s="113">
        <v>1833.8456200000001</v>
      </c>
      <c r="O17" s="113">
        <v>1903.5317600000001</v>
      </c>
      <c r="P17" s="223">
        <v>1968.2518399999999</v>
      </c>
      <c r="Q17" s="241">
        <v>0</v>
      </c>
      <c r="R17" s="113">
        <v>0</v>
      </c>
      <c r="S17" s="113">
        <v>0</v>
      </c>
      <c r="T17" s="113">
        <v>0</v>
      </c>
      <c r="U17" s="113">
        <v>0</v>
      </c>
      <c r="V17" s="242">
        <v>0</v>
      </c>
      <c r="W17" s="112">
        <v>923</v>
      </c>
      <c r="X17" s="113">
        <v>768</v>
      </c>
      <c r="Y17" s="113">
        <v>628</v>
      </c>
      <c r="Z17" s="113">
        <v>628</v>
      </c>
      <c r="AA17" s="113">
        <v>628</v>
      </c>
      <c r="AB17" s="118">
        <v>628</v>
      </c>
      <c r="AC17" s="112">
        <f t="shared" si="7"/>
        <v>50994.474539544957</v>
      </c>
      <c r="AD17" s="113">
        <f t="shared" si="7"/>
        <v>55281.944444444445</v>
      </c>
      <c r="AE17" s="113">
        <f t="shared" si="7"/>
        <v>60296.99973460722</v>
      </c>
      <c r="AF17" s="113">
        <f t="shared" si="7"/>
        <v>63975.116772823792</v>
      </c>
      <c r="AG17" s="113">
        <f t="shared" si="7"/>
        <v>66534.12154989384</v>
      </c>
      <c r="AH17" s="118">
        <f t="shared" si="7"/>
        <v>69195.486995753716</v>
      </c>
      <c r="AI17" s="112">
        <v>564.81479999999999</v>
      </c>
      <c r="AJ17" s="113">
        <v>509.47840000000002</v>
      </c>
      <c r="AK17" s="113">
        <v>454.39819</v>
      </c>
      <c r="AL17" s="113">
        <v>482.11648000000002</v>
      </c>
      <c r="AM17" s="113">
        <v>501.40114</v>
      </c>
      <c r="AN17" s="116">
        <v>521.45718999999997</v>
      </c>
      <c r="AO17" s="119"/>
      <c r="AP17" s="120"/>
    </row>
    <row r="18" spans="1:42" ht="15" x14ac:dyDescent="0.2">
      <c r="A18" s="95" t="s">
        <v>165</v>
      </c>
      <c r="B18" s="96" t="s">
        <v>53</v>
      </c>
      <c r="C18" s="100" t="s">
        <v>53</v>
      </c>
      <c r="D18" s="101"/>
      <c r="E18" s="101"/>
      <c r="F18" s="101"/>
      <c r="G18" s="101"/>
      <c r="H18" s="101"/>
      <c r="I18" s="96"/>
      <c r="J18" s="261" t="s">
        <v>53</v>
      </c>
      <c r="K18" s="101"/>
      <c r="L18" s="101"/>
      <c r="M18" s="101"/>
      <c r="N18" s="101"/>
      <c r="O18" s="101"/>
      <c r="P18" s="224"/>
      <c r="Q18" s="243"/>
      <c r="R18" s="101"/>
      <c r="S18" s="101"/>
      <c r="T18" s="101"/>
      <c r="U18" s="101"/>
      <c r="V18" s="244"/>
      <c r="W18" s="100" t="s">
        <v>53</v>
      </c>
      <c r="X18" s="101"/>
      <c r="Y18" s="101"/>
      <c r="Z18" s="101"/>
      <c r="AA18" s="101"/>
      <c r="AB18" s="96"/>
      <c r="AC18" s="81"/>
      <c r="AD18" s="82"/>
      <c r="AE18" s="82"/>
      <c r="AF18" s="82"/>
      <c r="AG18" s="82"/>
      <c r="AH18" s="83"/>
      <c r="AI18" s="100" t="s">
        <v>53</v>
      </c>
      <c r="AJ18" s="101"/>
      <c r="AK18" s="101"/>
      <c r="AL18" s="101"/>
      <c r="AM18" s="101"/>
      <c r="AN18" s="102"/>
      <c r="AO18" s="87"/>
      <c r="AP18" s="76"/>
    </row>
    <row r="19" spans="1:42" ht="15" hidden="1" x14ac:dyDescent="0.2">
      <c r="A19" s="95" t="s">
        <v>205</v>
      </c>
      <c r="B19" s="103" t="s">
        <v>206</v>
      </c>
      <c r="C19" s="122"/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6">
        <v>0</v>
      </c>
      <c r="J19" s="262"/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222">
        <v>0</v>
      </c>
      <c r="Q19" s="245">
        <v>0</v>
      </c>
      <c r="R19" s="123">
        <v>0</v>
      </c>
      <c r="S19" s="123">
        <v>0</v>
      </c>
      <c r="T19" s="123">
        <v>0</v>
      </c>
      <c r="U19" s="123">
        <v>0</v>
      </c>
      <c r="V19" s="246">
        <v>0</v>
      </c>
      <c r="W19" s="104">
        <v>142</v>
      </c>
      <c r="X19" s="107">
        <v>0</v>
      </c>
      <c r="Y19" s="107">
        <v>0</v>
      </c>
      <c r="Z19" s="107">
        <v>0</v>
      </c>
      <c r="AA19" s="107">
        <v>0</v>
      </c>
      <c r="AB19" s="108">
        <v>0</v>
      </c>
      <c r="AC19" s="104">
        <f>AI19/W19/12*1000000</f>
        <v>26085.68075117371</v>
      </c>
      <c r="AD19" s="107">
        <v>0</v>
      </c>
      <c r="AE19" s="107">
        <v>0</v>
      </c>
      <c r="AF19" s="107">
        <v>0</v>
      </c>
      <c r="AG19" s="107">
        <v>0</v>
      </c>
      <c r="AH19" s="108">
        <v>0</v>
      </c>
      <c r="AI19" s="104">
        <v>44.45</v>
      </c>
      <c r="AJ19" s="107">
        <v>0</v>
      </c>
      <c r="AK19" s="107">
        <v>0</v>
      </c>
      <c r="AL19" s="107">
        <v>0</v>
      </c>
      <c r="AM19" s="107">
        <v>0</v>
      </c>
      <c r="AN19" s="109">
        <v>0</v>
      </c>
      <c r="AO19" s="125"/>
    </row>
    <row r="20" spans="1:42" s="121" customFormat="1" ht="42.75" x14ac:dyDescent="0.25">
      <c r="A20" s="111" t="s">
        <v>257</v>
      </c>
      <c r="B20" s="126"/>
      <c r="C20" s="112">
        <v>176.25</v>
      </c>
      <c r="D20" s="113">
        <v>264.11709999999999</v>
      </c>
      <c r="E20" s="113">
        <v>382.25869999999998</v>
      </c>
      <c r="F20" s="113">
        <f>(E20/L20)*M20</f>
        <v>399.07969974719322</v>
      </c>
      <c r="G20" s="113">
        <f t="shared" ref="G20:I20" si="14">(F20/M20)*N20</f>
        <v>417.93609731912954</v>
      </c>
      <c r="H20" s="113">
        <f t="shared" si="14"/>
        <v>434.31307142875312</v>
      </c>
      <c r="I20" s="118">
        <f t="shared" si="14"/>
        <v>450.62694898080991</v>
      </c>
      <c r="J20" s="260">
        <v>260.52999999999997</v>
      </c>
      <c r="K20" s="113">
        <v>341.46710000000002</v>
      </c>
      <c r="L20" s="113">
        <v>463.64269999999999</v>
      </c>
      <c r="M20" s="113">
        <v>484.04494</v>
      </c>
      <c r="N20" s="113">
        <v>506.91592000000003</v>
      </c>
      <c r="O20" s="113">
        <v>526.77959999999996</v>
      </c>
      <c r="P20" s="223">
        <v>546.56674999999996</v>
      </c>
      <c r="Q20" s="241">
        <v>0</v>
      </c>
      <c r="R20" s="113">
        <v>5.2480000000000002</v>
      </c>
      <c r="S20" s="113">
        <v>5.5819999999999999</v>
      </c>
      <c r="T20" s="113">
        <v>5.6859999999999999</v>
      </c>
      <c r="U20" s="113">
        <v>5.7240000000000002</v>
      </c>
      <c r="V20" s="242">
        <v>5.8010000000000002</v>
      </c>
      <c r="W20" s="112">
        <v>550.4</v>
      </c>
      <c r="X20" s="113">
        <v>537.29999999999995</v>
      </c>
      <c r="Y20" s="113">
        <v>537.29999999999995</v>
      </c>
      <c r="Z20" s="113">
        <v>537.29999999999995</v>
      </c>
      <c r="AA20" s="113">
        <v>537.29999999999995</v>
      </c>
      <c r="AB20" s="118">
        <v>537.29999999999995</v>
      </c>
      <c r="AC20" s="112">
        <f t="shared" si="7"/>
        <v>48270.167151162786</v>
      </c>
      <c r="AD20" s="113">
        <f t="shared" si="7"/>
        <v>53180.951051554068</v>
      </c>
      <c r="AE20" s="113">
        <f t="shared" si="7"/>
        <v>56104.252745207523</v>
      </c>
      <c r="AF20" s="113">
        <f t="shared" si="7"/>
        <v>59407.864941993925</v>
      </c>
      <c r="AG20" s="113">
        <f t="shared" si="7"/>
        <v>61682.745517712021</v>
      </c>
      <c r="AH20" s="118">
        <f t="shared" si="7"/>
        <v>64083.541162603149</v>
      </c>
      <c r="AI20" s="112">
        <v>318.81479999999999</v>
      </c>
      <c r="AJ20" s="113">
        <v>342.8895</v>
      </c>
      <c r="AK20" s="113">
        <v>361.73777999999999</v>
      </c>
      <c r="AL20" s="113">
        <v>383.03814999999997</v>
      </c>
      <c r="AM20" s="113">
        <v>397.70567</v>
      </c>
      <c r="AN20" s="116">
        <v>413.18504000000001</v>
      </c>
      <c r="AO20" s="127"/>
    </row>
    <row r="21" spans="1:42" ht="15" x14ac:dyDescent="0.25">
      <c r="A21" s="128" t="s">
        <v>165</v>
      </c>
      <c r="B21" s="129" t="s">
        <v>53</v>
      </c>
      <c r="C21" s="130" t="s">
        <v>53</v>
      </c>
      <c r="D21" s="131"/>
      <c r="E21" s="131"/>
      <c r="F21" s="131"/>
      <c r="G21" s="131"/>
      <c r="H21" s="131"/>
      <c r="I21" s="132"/>
      <c r="J21" s="263" t="s">
        <v>53</v>
      </c>
      <c r="K21" s="131"/>
      <c r="L21" s="131"/>
      <c r="M21" s="131"/>
      <c r="N21" s="131"/>
      <c r="O21" s="131"/>
      <c r="P21" s="225"/>
      <c r="Q21" s="247"/>
      <c r="R21" s="131"/>
      <c r="S21" s="131"/>
      <c r="T21" s="131"/>
      <c r="U21" s="131"/>
      <c r="V21" s="248"/>
      <c r="W21" s="130" t="s">
        <v>53</v>
      </c>
      <c r="X21" s="131"/>
      <c r="Y21" s="131"/>
      <c r="Z21" s="131"/>
      <c r="AA21" s="131"/>
      <c r="AB21" s="132"/>
      <c r="AC21" s="81"/>
      <c r="AD21" s="82"/>
      <c r="AE21" s="82"/>
      <c r="AF21" s="82"/>
      <c r="AG21" s="82"/>
      <c r="AH21" s="83"/>
      <c r="AI21" s="130" t="s">
        <v>53</v>
      </c>
      <c r="AJ21" s="131"/>
      <c r="AK21" s="131"/>
      <c r="AL21" s="131"/>
      <c r="AM21" s="131"/>
      <c r="AN21" s="133"/>
      <c r="AO21" s="125"/>
    </row>
    <row r="22" spans="1:42" ht="30" x14ac:dyDescent="0.25">
      <c r="A22" s="128" t="s">
        <v>259</v>
      </c>
      <c r="B22" s="103" t="s">
        <v>245</v>
      </c>
      <c r="C22" s="130"/>
      <c r="D22" s="105">
        <v>229.376</v>
      </c>
      <c r="E22" s="105">
        <v>277.97800000000001</v>
      </c>
      <c r="F22" s="105">
        <f t="shared" ref="F22:I25" si="15">(E22/L22)*M22</f>
        <v>289.09699999999998</v>
      </c>
      <c r="G22" s="105">
        <f t="shared" si="15"/>
        <v>300.661</v>
      </c>
      <c r="H22" s="105">
        <f t="shared" si="15"/>
        <v>312.68700000000001</v>
      </c>
      <c r="I22" s="106">
        <f t="shared" si="15"/>
        <v>325.19499999999999</v>
      </c>
      <c r="J22" s="263"/>
      <c r="K22" s="131">
        <v>229.376</v>
      </c>
      <c r="L22" s="131">
        <v>277.97800000000001</v>
      </c>
      <c r="M22" s="131">
        <v>289.09699999999998</v>
      </c>
      <c r="N22" s="131">
        <v>300.661</v>
      </c>
      <c r="O22" s="131">
        <v>312.68700000000001</v>
      </c>
      <c r="P22" s="225">
        <v>325.19499999999999</v>
      </c>
      <c r="Q22" s="247">
        <v>0</v>
      </c>
      <c r="R22" s="131">
        <v>5.2480000000000002</v>
      </c>
      <c r="S22" s="131">
        <v>5.5819999999999999</v>
      </c>
      <c r="T22" s="134">
        <v>5.5359999999999996</v>
      </c>
      <c r="U22" s="134">
        <v>5.7240000000000002</v>
      </c>
      <c r="V22" s="249">
        <v>5.8010000000000002</v>
      </c>
      <c r="W22" s="104">
        <v>191.9</v>
      </c>
      <c r="X22" s="107">
        <v>196.5</v>
      </c>
      <c r="Y22" s="107">
        <v>197</v>
      </c>
      <c r="Z22" s="107">
        <v>200</v>
      </c>
      <c r="AA22" s="107">
        <v>205</v>
      </c>
      <c r="AB22" s="108">
        <v>206</v>
      </c>
      <c r="AC22" s="135">
        <f t="shared" ref="AC22:AH22" si="16">AI22/W22/12*1000000</f>
        <v>36466.475594927913</v>
      </c>
      <c r="AD22" s="136">
        <f t="shared" si="16"/>
        <v>36801.102629346904</v>
      </c>
      <c r="AE22" s="136">
        <f t="shared" si="16"/>
        <v>37074.775803722499</v>
      </c>
      <c r="AF22" s="136">
        <f t="shared" si="16"/>
        <v>37060.320833333331</v>
      </c>
      <c r="AG22" s="136">
        <f t="shared" si="16"/>
        <v>37010.069105691051</v>
      </c>
      <c r="AH22" s="137">
        <f t="shared" si="16"/>
        <v>37000.311488673135</v>
      </c>
      <c r="AI22" s="104">
        <v>83.974999999999994</v>
      </c>
      <c r="AJ22" s="107">
        <v>86.777000000000001</v>
      </c>
      <c r="AK22" s="107">
        <v>87.644769999999994</v>
      </c>
      <c r="AL22" s="107">
        <v>88.944770000000005</v>
      </c>
      <c r="AM22" s="107">
        <v>91.04477</v>
      </c>
      <c r="AN22" s="109">
        <v>91.464770000000001</v>
      </c>
      <c r="AO22" s="125"/>
    </row>
    <row r="23" spans="1:42" s="121" customFormat="1" ht="57" x14ac:dyDescent="0.25">
      <c r="A23" s="111" t="s">
        <v>258</v>
      </c>
      <c r="B23" s="126"/>
      <c r="C23" s="112">
        <v>22.1</v>
      </c>
      <c r="D23" s="113">
        <v>58.895999700477994</v>
      </c>
      <c r="E23" s="113">
        <v>20.564</v>
      </c>
      <c r="F23" s="113">
        <f t="shared" si="15"/>
        <v>21.592199999999998</v>
      </c>
      <c r="G23" s="113">
        <f t="shared" si="15"/>
        <v>22.844550000000002</v>
      </c>
      <c r="H23" s="113">
        <f t="shared" si="15"/>
        <v>23.71264</v>
      </c>
      <c r="I23" s="118">
        <f t="shared" si="15"/>
        <v>24.51887</v>
      </c>
      <c r="J23" s="260">
        <v>22.1</v>
      </c>
      <c r="K23" s="113">
        <v>76.688999999999993</v>
      </c>
      <c r="L23" s="113">
        <v>20.564</v>
      </c>
      <c r="M23" s="113">
        <v>21.592199999999998</v>
      </c>
      <c r="N23" s="113">
        <v>22.844550000000002</v>
      </c>
      <c r="O23" s="113">
        <v>23.71264</v>
      </c>
      <c r="P23" s="223">
        <v>24.51887</v>
      </c>
      <c r="Q23" s="241">
        <v>0</v>
      </c>
      <c r="R23" s="113">
        <v>0</v>
      </c>
      <c r="S23" s="113">
        <v>0</v>
      </c>
      <c r="T23" s="113">
        <v>0</v>
      </c>
      <c r="U23" s="113">
        <v>0</v>
      </c>
      <c r="V23" s="242">
        <v>0</v>
      </c>
      <c r="W23" s="112">
        <v>116</v>
      </c>
      <c r="X23" s="113">
        <v>86.3</v>
      </c>
      <c r="Y23" s="113">
        <v>90.3</v>
      </c>
      <c r="Z23" s="113">
        <v>90.3</v>
      </c>
      <c r="AA23" s="113">
        <v>90.3</v>
      </c>
      <c r="AB23" s="118">
        <v>90.3</v>
      </c>
      <c r="AC23" s="112">
        <f t="shared" si="7"/>
        <v>28184.626436781604</v>
      </c>
      <c r="AD23" s="113">
        <f t="shared" si="7"/>
        <v>29435.110081112398</v>
      </c>
      <c r="AE23" s="113">
        <f t="shared" si="7"/>
        <v>29537.790697674423</v>
      </c>
      <c r="AF23" s="113">
        <f t="shared" si="7"/>
        <v>31339.599483204132</v>
      </c>
      <c r="AG23" s="113">
        <f t="shared" si="7"/>
        <v>32593.180140273169</v>
      </c>
      <c r="AH23" s="118">
        <f t="shared" si="7"/>
        <v>33896.908453303804</v>
      </c>
      <c r="AI23" s="112">
        <v>39.232999999999997</v>
      </c>
      <c r="AJ23" s="113">
        <v>30.483000000000001</v>
      </c>
      <c r="AK23" s="113">
        <v>32.007150000000003</v>
      </c>
      <c r="AL23" s="113">
        <v>33.959589999999999</v>
      </c>
      <c r="AM23" s="113">
        <v>35.317970000000003</v>
      </c>
      <c r="AN23" s="116">
        <v>36.730690000000003</v>
      </c>
      <c r="AO23" s="127"/>
    </row>
    <row r="24" spans="1:42" s="121" customFormat="1" ht="15" x14ac:dyDescent="0.25">
      <c r="A24" s="111" t="s">
        <v>168</v>
      </c>
      <c r="B24" s="126"/>
      <c r="C24" s="112">
        <v>939.85</v>
      </c>
      <c r="D24" s="113">
        <v>1106.7823000000001</v>
      </c>
      <c r="E24" s="113">
        <v>1930.98894</v>
      </c>
      <c r="F24" s="113">
        <f t="shared" si="15"/>
        <v>2251.5331042335793</v>
      </c>
      <c r="G24" s="113">
        <f t="shared" si="15"/>
        <v>2382.1220269118071</v>
      </c>
      <c r="H24" s="113">
        <f t="shared" si="15"/>
        <v>2472.6426604693838</v>
      </c>
      <c r="I24" s="118">
        <f t="shared" si="15"/>
        <v>2556.7125113125016</v>
      </c>
      <c r="J24" s="260">
        <v>939.85</v>
      </c>
      <c r="K24" s="113">
        <v>1106.7823000000001</v>
      </c>
      <c r="L24" s="113">
        <v>1995.0353</v>
      </c>
      <c r="M24" s="113">
        <v>2326.2111599999998</v>
      </c>
      <c r="N24" s="113">
        <v>2461.13141</v>
      </c>
      <c r="O24" s="113">
        <v>2554.6543999999999</v>
      </c>
      <c r="P24" s="223">
        <v>2641.5126500000001</v>
      </c>
      <c r="Q24" s="239">
        <v>0</v>
      </c>
      <c r="R24" s="114">
        <v>0</v>
      </c>
      <c r="S24" s="114">
        <v>0</v>
      </c>
      <c r="T24" s="114">
        <v>0</v>
      </c>
      <c r="U24" s="114">
        <v>0</v>
      </c>
      <c r="V24" s="240">
        <v>0</v>
      </c>
      <c r="W24" s="112">
        <v>351.8</v>
      </c>
      <c r="X24" s="113">
        <v>385.9</v>
      </c>
      <c r="Y24" s="113">
        <v>385.9</v>
      </c>
      <c r="Z24" s="113">
        <v>385.9</v>
      </c>
      <c r="AA24" s="113">
        <v>385.9</v>
      </c>
      <c r="AB24" s="118">
        <v>385.9</v>
      </c>
      <c r="AC24" s="81">
        <f t="shared" si="7"/>
        <v>66255.992988440397</v>
      </c>
      <c r="AD24" s="82">
        <f t="shared" si="7"/>
        <v>60575.256975036718</v>
      </c>
      <c r="AE24" s="82">
        <f t="shared" si="7"/>
        <v>68898.799343525956</v>
      </c>
      <c r="AF24" s="82">
        <f t="shared" si="7"/>
        <v>73101.626068929763</v>
      </c>
      <c r="AG24" s="82">
        <f t="shared" si="7"/>
        <v>76025.691025308799</v>
      </c>
      <c r="AH24" s="83">
        <f t="shared" si="7"/>
        <v>79066.718493564826</v>
      </c>
      <c r="AI24" s="138">
        <v>279.7063</v>
      </c>
      <c r="AJ24" s="114">
        <v>280.51190000000003</v>
      </c>
      <c r="AK24" s="114">
        <v>319.05655999999999</v>
      </c>
      <c r="AL24" s="114">
        <v>338.51900999999998</v>
      </c>
      <c r="AM24" s="114">
        <v>352.05977000000001</v>
      </c>
      <c r="AN24" s="117">
        <v>366.14215999999999</v>
      </c>
      <c r="AO24" s="127"/>
    </row>
    <row r="25" spans="1:42" s="121" customFormat="1" ht="44.25" customHeight="1" x14ac:dyDescent="0.25">
      <c r="A25" s="111" t="s">
        <v>169</v>
      </c>
      <c r="B25" s="126"/>
      <c r="C25" s="112">
        <v>15.26</v>
      </c>
      <c r="D25" s="113">
        <v>10.093999999999999</v>
      </c>
      <c r="E25" s="113">
        <v>1.5490999999999999</v>
      </c>
      <c r="F25" s="113">
        <f t="shared" si="15"/>
        <v>1.7757749810797461</v>
      </c>
      <c r="G25" s="113">
        <f t="shared" si="15"/>
        <v>1.8719217816923461</v>
      </c>
      <c r="H25" s="113">
        <f t="shared" si="15"/>
        <v>1.9365361711894982</v>
      </c>
      <c r="I25" s="118">
        <f t="shared" si="15"/>
        <v>1.9972973083521279</v>
      </c>
      <c r="J25" s="260">
        <v>1650.42</v>
      </c>
      <c r="K25" s="113">
        <v>1628.7637</v>
      </c>
      <c r="L25" s="113">
        <v>1737.1859999999999</v>
      </c>
      <c r="M25" s="113">
        <v>1991.38302</v>
      </c>
      <c r="N25" s="113">
        <v>2099.20361</v>
      </c>
      <c r="O25" s="113">
        <v>2171.6632399999999</v>
      </c>
      <c r="P25" s="223">
        <v>2239.80177</v>
      </c>
      <c r="Q25" s="239">
        <v>0</v>
      </c>
      <c r="R25" s="114">
        <v>0.83799999999999997</v>
      </c>
      <c r="S25" s="114">
        <v>0.77056999999999998</v>
      </c>
      <c r="T25" s="114">
        <v>0.77056999999999998</v>
      </c>
      <c r="U25" s="114">
        <v>0.75617000000000001</v>
      </c>
      <c r="V25" s="240">
        <v>0.74629999999999996</v>
      </c>
      <c r="W25" s="112">
        <v>217.7</v>
      </c>
      <c r="X25" s="113">
        <v>211.8</v>
      </c>
      <c r="Y25" s="113">
        <v>215.4</v>
      </c>
      <c r="Z25" s="113">
        <v>215.4</v>
      </c>
      <c r="AA25" s="113">
        <v>215.4</v>
      </c>
      <c r="AB25" s="115">
        <v>215.4</v>
      </c>
      <c r="AC25" s="81">
        <f t="shared" si="7"/>
        <v>33969.759608023276</v>
      </c>
      <c r="AD25" s="82">
        <f t="shared" si="7"/>
        <v>37240.281712307209</v>
      </c>
      <c r="AE25" s="82">
        <f t="shared" si="7"/>
        <v>37572.767718972449</v>
      </c>
      <c r="AF25" s="82">
        <f t="shared" si="7"/>
        <v>39864.709068399876</v>
      </c>
      <c r="AG25" s="82">
        <f t="shared" si="7"/>
        <v>41459.296657381616</v>
      </c>
      <c r="AH25" s="83">
        <f t="shared" si="7"/>
        <v>43117.668678427726</v>
      </c>
      <c r="AI25" s="138">
        <v>88.742599999999996</v>
      </c>
      <c r="AJ25" s="114">
        <v>94.649900000000002</v>
      </c>
      <c r="AK25" s="114">
        <v>97.118089999999995</v>
      </c>
      <c r="AL25" s="114">
        <v>103.0423</v>
      </c>
      <c r="AM25" s="114">
        <v>107.16399</v>
      </c>
      <c r="AN25" s="117">
        <v>111.45055000000001</v>
      </c>
      <c r="AO25" s="127"/>
    </row>
    <row r="26" spans="1:42" ht="15" x14ac:dyDescent="0.2">
      <c r="A26" s="139" t="s">
        <v>165</v>
      </c>
      <c r="B26" s="129" t="s">
        <v>53</v>
      </c>
      <c r="C26" s="130" t="s">
        <v>53</v>
      </c>
      <c r="D26" s="131"/>
      <c r="E26" s="131"/>
      <c r="F26" s="131"/>
      <c r="G26" s="131"/>
      <c r="H26" s="131"/>
      <c r="I26" s="132"/>
      <c r="J26" s="263" t="s">
        <v>53</v>
      </c>
      <c r="K26" s="131"/>
      <c r="L26" s="131"/>
      <c r="M26" s="131"/>
      <c r="N26" s="131"/>
      <c r="O26" s="131"/>
      <c r="P26" s="225"/>
      <c r="Q26" s="247"/>
      <c r="R26" s="131"/>
      <c r="S26" s="131"/>
      <c r="T26" s="131"/>
      <c r="U26" s="131"/>
      <c r="V26" s="248"/>
      <c r="W26" s="130" t="s">
        <v>53</v>
      </c>
      <c r="X26" s="131"/>
      <c r="Y26" s="131"/>
      <c r="Z26" s="131"/>
      <c r="AA26" s="131"/>
      <c r="AB26" s="132"/>
      <c r="AC26" s="81"/>
      <c r="AD26" s="82"/>
      <c r="AE26" s="82"/>
      <c r="AF26" s="82"/>
      <c r="AG26" s="82"/>
      <c r="AH26" s="83"/>
      <c r="AI26" s="130" t="s">
        <v>53</v>
      </c>
      <c r="AJ26" s="131"/>
      <c r="AK26" s="131"/>
      <c r="AL26" s="131"/>
      <c r="AM26" s="131"/>
      <c r="AN26" s="133"/>
      <c r="AO26" s="125"/>
    </row>
    <row r="27" spans="1:42" ht="15" x14ac:dyDescent="0.25">
      <c r="A27" s="140" t="s">
        <v>215</v>
      </c>
      <c r="B27" s="141" t="s">
        <v>210</v>
      </c>
      <c r="C27" s="122"/>
      <c r="D27" s="105">
        <v>0</v>
      </c>
      <c r="E27" s="105">
        <v>0</v>
      </c>
      <c r="F27" s="105">
        <f t="shared" ref="F27:I30" si="17">(E27/L27)*M27</f>
        <v>0</v>
      </c>
      <c r="G27" s="105">
        <f t="shared" si="17"/>
        <v>0</v>
      </c>
      <c r="H27" s="105">
        <f t="shared" si="17"/>
        <v>0</v>
      </c>
      <c r="I27" s="106">
        <f t="shared" si="17"/>
        <v>0</v>
      </c>
      <c r="J27" s="259"/>
      <c r="K27" s="107">
        <v>43.496000000000002</v>
      </c>
      <c r="L27" s="107">
        <v>36.997</v>
      </c>
      <c r="M27" s="107">
        <v>37</v>
      </c>
      <c r="N27" s="107">
        <v>38</v>
      </c>
      <c r="O27" s="107">
        <v>38.200000000000003</v>
      </c>
      <c r="P27" s="222">
        <v>38.299999999999997</v>
      </c>
      <c r="Q27" s="105">
        <v>0.42499999999999999</v>
      </c>
      <c r="R27" s="107">
        <v>0</v>
      </c>
      <c r="S27" s="107">
        <v>0</v>
      </c>
      <c r="T27" s="107">
        <v>0.13</v>
      </c>
      <c r="U27" s="107">
        <v>0.13</v>
      </c>
      <c r="V27" s="236">
        <v>0.11</v>
      </c>
      <c r="W27" s="104">
        <v>32</v>
      </c>
      <c r="X27" s="107">
        <v>31</v>
      </c>
      <c r="Y27" s="107">
        <v>30</v>
      </c>
      <c r="Z27" s="107">
        <v>31</v>
      </c>
      <c r="AA27" s="107">
        <v>30</v>
      </c>
      <c r="AB27" s="108">
        <v>30</v>
      </c>
      <c r="AC27" s="104">
        <f t="shared" ref="AC27:AH27" si="18">AI27/W27/12*1000000</f>
        <v>25643.229166666668</v>
      </c>
      <c r="AD27" s="107">
        <f t="shared" si="18"/>
        <v>26559.139784946237</v>
      </c>
      <c r="AE27" s="107">
        <f t="shared" si="18"/>
        <v>27500</v>
      </c>
      <c r="AF27" s="107">
        <f t="shared" si="18"/>
        <v>26639.784946236559</v>
      </c>
      <c r="AG27" s="107">
        <f t="shared" si="18"/>
        <v>27583.333333333336</v>
      </c>
      <c r="AH27" s="108">
        <f t="shared" si="18"/>
        <v>27611.111111111109</v>
      </c>
      <c r="AI27" s="142">
        <v>9.8469999999999995</v>
      </c>
      <c r="AJ27" s="123">
        <v>9.8800000000000008</v>
      </c>
      <c r="AK27" s="123">
        <v>9.9</v>
      </c>
      <c r="AL27" s="123">
        <v>9.91</v>
      </c>
      <c r="AM27" s="123">
        <v>9.93</v>
      </c>
      <c r="AN27" s="124">
        <v>9.94</v>
      </c>
      <c r="AO27" s="125"/>
    </row>
    <row r="28" spans="1:42" ht="15" x14ac:dyDescent="0.25">
      <c r="A28" s="140" t="s">
        <v>249</v>
      </c>
      <c r="B28" s="141" t="s">
        <v>210</v>
      </c>
      <c r="C28" s="122"/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6">
        <v>0</v>
      </c>
      <c r="J28" s="259">
        <v>9.14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222">
        <v>0</v>
      </c>
      <c r="Q28" s="105">
        <v>0</v>
      </c>
      <c r="R28" s="107">
        <v>0</v>
      </c>
      <c r="S28" s="107">
        <v>0</v>
      </c>
      <c r="T28" s="107">
        <v>0</v>
      </c>
      <c r="U28" s="107">
        <v>0</v>
      </c>
      <c r="V28" s="236">
        <v>0</v>
      </c>
      <c r="W28" s="104">
        <v>0</v>
      </c>
      <c r="X28" s="107">
        <v>0</v>
      </c>
      <c r="Y28" s="107">
        <v>0</v>
      </c>
      <c r="Z28" s="107">
        <v>0</v>
      </c>
      <c r="AA28" s="107">
        <v>0</v>
      </c>
      <c r="AB28" s="108">
        <v>0</v>
      </c>
      <c r="AC28" s="104">
        <v>0</v>
      </c>
      <c r="AD28" s="107">
        <v>0</v>
      </c>
      <c r="AE28" s="107">
        <v>0</v>
      </c>
      <c r="AF28" s="107">
        <v>0</v>
      </c>
      <c r="AG28" s="107">
        <v>0</v>
      </c>
      <c r="AH28" s="108">
        <v>0</v>
      </c>
      <c r="AI28" s="104">
        <v>0</v>
      </c>
      <c r="AJ28" s="107">
        <v>0</v>
      </c>
      <c r="AK28" s="107">
        <v>0</v>
      </c>
      <c r="AL28" s="107">
        <v>0</v>
      </c>
      <c r="AM28" s="107">
        <v>0</v>
      </c>
      <c r="AN28" s="109">
        <v>0</v>
      </c>
      <c r="AO28" s="125"/>
    </row>
    <row r="29" spans="1:42" ht="15" x14ac:dyDescent="0.25">
      <c r="A29" s="140" t="s">
        <v>248</v>
      </c>
      <c r="B29" s="141" t="s">
        <v>210</v>
      </c>
      <c r="C29" s="122"/>
      <c r="D29" s="105">
        <v>0</v>
      </c>
      <c r="E29" s="105">
        <v>0</v>
      </c>
      <c r="F29" s="105">
        <f t="shared" si="17"/>
        <v>0</v>
      </c>
      <c r="G29" s="105">
        <f t="shared" si="17"/>
        <v>0</v>
      </c>
      <c r="H29" s="105">
        <f t="shared" si="17"/>
        <v>0</v>
      </c>
      <c r="I29" s="106">
        <f t="shared" si="17"/>
        <v>0</v>
      </c>
      <c r="J29" s="259">
        <v>74.81</v>
      </c>
      <c r="K29" s="107">
        <v>73.959999999999994</v>
      </c>
      <c r="L29" s="107">
        <v>85.212999999999994</v>
      </c>
      <c r="M29" s="107">
        <v>71.320999999999998</v>
      </c>
      <c r="N29" s="107">
        <v>68.924000000000007</v>
      </c>
      <c r="O29" s="107">
        <v>65.477000000000004</v>
      </c>
      <c r="P29" s="222">
        <v>63.204000000000001</v>
      </c>
      <c r="Q29" s="105">
        <v>0.41299999999999998</v>
      </c>
      <c r="R29" s="107">
        <v>0.94299999999999995</v>
      </c>
      <c r="S29" s="107">
        <v>0.64</v>
      </c>
      <c r="T29" s="107">
        <v>0.68899999999999995</v>
      </c>
      <c r="U29" s="107">
        <v>0.65400000000000003</v>
      </c>
      <c r="V29" s="236">
        <v>0.63</v>
      </c>
      <c r="W29" s="104">
        <v>23</v>
      </c>
      <c r="X29" s="107">
        <v>22</v>
      </c>
      <c r="Y29" s="107">
        <v>19</v>
      </c>
      <c r="Z29" s="107">
        <v>20</v>
      </c>
      <c r="AA29" s="107">
        <v>20</v>
      </c>
      <c r="AB29" s="108">
        <v>20</v>
      </c>
      <c r="AC29" s="104">
        <f t="shared" ref="AC29:AH29" si="19">AI29/W29/12*1000000</f>
        <v>36878.260869565216</v>
      </c>
      <c r="AD29" s="107">
        <f t="shared" si="19"/>
        <v>41301.931818181823</v>
      </c>
      <c r="AE29" s="107">
        <f t="shared" si="19"/>
        <v>45564.912280701756</v>
      </c>
      <c r="AF29" s="107">
        <f t="shared" si="19"/>
        <v>43357.083333333328</v>
      </c>
      <c r="AG29" s="107">
        <f t="shared" si="19"/>
        <v>43423.708333333328</v>
      </c>
      <c r="AH29" s="108">
        <f t="shared" si="19"/>
        <v>43631.416666666664</v>
      </c>
      <c r="AI29" s="104">
        <v>10.1784</v>
      </c>
      <c r="AJ29" s="107">
        <v>10.90371</v>
      </c>
      <c r="AK29" s="107">
        <v>10.3888</v>
      </c>
      <c r="AL29" s="107">
        <v>10.4057</v>
      </c>
      <c r="AM29" s="107">
        <v>10.42169</v>
      </c>
      <c r="AN29" s="109">
        <v>10.471539999999999</v>
      </c>
      <c r="AO29" s="125"/>
    </row>
    <row r="30" spans="1:42" s="121" customFormat="1" ht="15" x14ac:dyDescent="0.25">
      <c r="A30" s="143" t="s">
        <v>216</v>
      </c>
      <c r="B30" s="144"/>
      <c r="C30" s="112">
        <v>1518.07</v>
      </c>
      <c r="D30" s="218">
        <f>563.8956+940.163</f>
        <v>1504.0585999999998</v>
      </c>
      <c r="E30" s="218">
        <f>626.422+1174.338</f>
        <v>1800.76</v>
      </c>
      <c r="F30" s="113">
        <f>(E30/L30)*M30</f>
        <v>1970.9987041214181</v>
      </c>
      <c r="G30" s="113">
        <f t="shared" si="17"/>
        <v>2089.0299979702395</v>
      </c>
      <c r="H30" s="113">
        <f t="shared" si="17"/>
        <v>2171.0393017302285</v>
      </c>
      <c r="I30" s="118">
        <f t="shared" si="17"/>
        <v>2252.9787186705662</v>
      </c>
      <c r="J30" s="260">
        <v>1518.07</v>
      </c>
      <c r="K30" s="113">
        <v>1560.0971999999999</v>
      </c>
      <c r="L30" s="113">
        <v>1804.4493</v>
      </c>
      <c r="M30" s="113">
        <v>1975.0367799999999</v>
      </c>
      <c r="N30" s="113">
        <v>2093.30989</v>
      </c>
      <c r="O30" s="113">
        <v>2175.4872099999998</v>
      </c>
      <c r="P30" s="223">
        <v>2257.5945000000002</v>
      </c>
      <c r="Q30" s="239">
        <v>56.796999999999997</v>
      </c>
      <c r="R30" s="114">
        <v>74.5</v>
      </c>
      <c r="S30" s="114">
        <v>21.059000000000001</v>
      </c>
      <c r="T30" s="114">
        <v>22.343599999999999</v>
      </c>
      <c r="U30" s="114">
        <v>23.23734</v>
      </c>
      <c r="V30" s="240">
        <v>24.166</v>
      </c>
      <c r="W30" s="112">
        <v>2197</v>
      </c>
      <c r="X30" s="113">
        <v>2408.8000000000002</v>
      </c>
      <c r="Y30" s="113">
        <v>2461.4</v>
      </c>
      <c r="Z30" s="113">
        <v>2461.4</v>
      </c>
      <c r="AA30" s="113">
        <v>2461.4</v>
      </c>
      <c r="AB30" s="118">
        <v>2461.4</v>
      </c>
      <c r="AC30" s="81">
        <f t="shared" si="7"/>
        <v>67797.997648308316</v>
      </c>
      <c r="AD30" s="82">
        <f t="shared" si="7"/>
        <v>68903.577161518857</v>
      </c>
      <c r="AE30" s="82">
        <f t="shared" si="7"/>
        <v>67699.278865686196</v>
      </c>
      <c r="AF30" s="82">
        <f t="shared" si="7"/>
        <v>70997.178773597683</v>
      </c>
      <c r="AG30" s="82">
        <f t="shared" si="7"/>
        <v>73291.652108556111</v>
      </c>
      <c r="AH30" s="83">
        <f t="shared" si="7"/>
        <v>75677.903496655024</v>
      </c>
      <c r="AI30" s="138">
        <v>1787.42641</v>
      </c>
      <c r="AJ30" s="114">
        <v>1991.6992399999999</v>
      </c>
      <c r="AK30" s="114">
        <v>1999.62006</v>
      </c>
      <c r="AL30" s="114">
        <v>2097.0294699999999</v>
      </c>
      <c r="AM30" s="114">
        <v>2164.80087</v>
      </c>
      <c r="AN30" s="117">
        <v>2235.2831000000001</v>
      </c>
      <c r="AO30" s="127"/>
    </row>
    <row r="31" spans="1:42" s="125" customFormat="1" ht="15" x14ac:dyDescent="0.2">
      <c r="A31" s="139" t="s">
        <v>165</v>
      </c>
      <c r="B31" s="129" t="s">
        <v>53</v>
      </c>
      <c r="C31" s="130" t="s">
        <v>53</v>
      </c>
      <c r="D31" s="131"/>
      <c r="E31" s="131"/>
      <c r="F31" s="131"/>
      <c r="G31" s="131"/>
      <c r="H31" s="131"/>
      <c r="I31" s="132"/>
      <c r="J31" s="263" t="s">
        <v>53</v>
      </c>
      <c r="K31" s="131"/>
      <c r="L31" s="131"/>
      <c r="M31" s="131"/>
      <c r="N31" s="131"/>
      <c r="O31" s="131"/>
      <c r="P31" s="225"/>
      <c r="Q31" s="247"/>
      <c r="R31" s="131"/>
      <c r="S31" s="131"/>
      <c r="T31" s="131"/>
      <c r="U31" s="131"/>
      <c r="V31" s="248"/>
      <c r="W31" s="130" t="s">
        <v>53</v>
      </c>
      <c r="X31" s="131"/>
      <c r="Y31" s="131"/>
      <c r="Z31" s="131"/>
      <c r="AA31" s="131"/>
      <c r="AB31" s="132"/>
      <c r="AC31" s="81"/>
      <c r="AD31" s="82"/>
      <c r="AE31" s="82"/>
      <c r="AF31" s="82"/>
      <c r="AG31" s="82"/>
      <c r="AH31" s="83"/>
      <c r="AI31" s="130" t="s">
        <v>53</v>
      </c>
      <c r="AJ31" s="131"/>
      <c r="AK31" s="131"/>
      <c r="AL31" s="131"/>
      <c r="AM31" s="131"/>
      <c r="AN31" s="133"/>
    </row>
    <row r="32" spans="1:42" s="125" customFormat="1" ht="15" x14ac:dyDescent="0.25">
      <c r="A32" s="128" t="s">
        <v>246</v>
      </c>
      <c r="B32" s="141" t="s">
        <v>247</v>
      </c>
      <c r="C32" s="122"/>
      <c r="D32" s="105">
        <v>940.16300000000001</v>
      </c>
      <c r="E32" s="105">
        <v>1174.338</v>
      </c>
      <c r="F32" s="105">
        <f>(E32/L32)*M32</f>
        <v>1240.327</v>
      </c>
      <c r="G32" s="105">
        <f t="shared" ref="G32:I36" si="20">(F32/M32)*N32</f>
        <v>1315.98695</v>
      </c>
      <c r="H32" s="105">
        <f t="shared" si="20"/>
        <v>1368.626</v>
      </c>
      <c r="I32" s="106">
        <f t="shared" si="20"/>
        <v>1423.3</v>
      </c>
      <c r="J32" s="259">
        <f>F32</f>
        <v>1240.327</v>
      </c>
      <c r="K32" s="107">
        <v>994.428</v>
      </c>
      <c r="L32" s="107">
        <v>1174.338</v>
      </c>
      <c r="M32" s="107">
        <v>1240.327</v>
      </c>
      <c r="N32" s="107">
        <v>1315.98695</v>
      </c>
      <c r="O32" s="107">
        <v>1368.626</v>
      </c>
      <c r="P32" s="222">
        <v>1423.3</v>
      </c>
      <c r="Q32" s="245">
        <v>56.796999999999997</v>
      </c>
      <c r="R32" s="123">
        <v>74.5</v>
      </c>
      <c r="S32" s="123">
        <v>21.059000000000001</v>
      </c>
      <c r="T32" s="123">
        <v>22.343599999999999</v>
      </c>
      <c r="U32" s="123">
        <v>23.23734</v>
      </c>
      <c r="V32" s="246">
        <v>24.166</v>
      </c>
      <c r="W32" s="104">
        <v>565</v>
      </c>
      <c r="X32" s="107">
        <v>563</v>
      </c>
      <c r="Y32" s="107">
        <v>570</v>
      </c>
      <c r="Z32" s="107">
        <v>570</v>
      </c>
      <c r="AA32" s="107">
        <v>570</v>
      </c>
      <c r="AB32" s="108">
        <v>570</v>
      </c>
      <c r="AC32" s="104">
        <f t="shared" ref="AC32:AH32" si="21">AI32/W32/12*1000000</f>
        <v>53865.412979351022</v>
      </c>
      <c r="AD32" s="107">
        <f t="shared" si="21"/>
        <v>59612.847838957961</v>
      </c>
      <c r="AE32" s="107">
        <f t="shared" si="21"/>
        <v>67780.701754385969</v>
      </c>
      <c r="AF32" s="107">
        <f t="shared" si="21"/>
        <v>74558.771929824565</v>
      </c>
      <c r="AG32" s="107">
        <f t="shared" si="21"/>
        <v>77541.122807017542</v>
      </c>
      <c r="AH32" s="108">
        <f t="shared" si="21"/>
        <v>80641.812865497079</v>
      </c>
      <c r="AI32" s="104">
        <f>365.2075</f>
        <v>365.20749999999998</v>
      </c>
      <c r="AJ32" s="107">
        <v>402.74439999999998</v>
      </c>
      <c r="AK32" s="107">
        <v>463.62</v>
      </c>
      <c r="AL32" s="107">
        <v>509.98200000000003</v>
      </c>
      <c r="AM32" s="107">
        <v>530.38127999999995</v>
      </c>
      <c r="AN32" s="109">
        <v>551.59</v>
      </c>
    </row>
    <row r="33" spans="1:41" s="121" customFormat="1" ht="15" x14ac:dyDescent="0.25">
      <c r="A33" s="143" t="s">
        <v>48</v>
      </c>
      <c r="B33" s="126"/>
      <c r="C33" s="112">
        <v>48.67</v>
      </c>
      <c r="D33" s="113">
        <v>29.468</v>
      </c>
      <c r="E33" s="113">
        <v>49.210799999999999</v>
      </c>
      <c r="F33" s="113">
        <f t="shared" ref="F33:F34" si="22">(E33/L33)*M33</f>
        <v>51.671340000000001</v>
      </c>
      <c r="G33" s="113">
        <f t="shared" si="20"/>
        <v>54.668280000000003</v>
      </c>
      <c r="H33" s="113">
        <f t="shared" si="20"/>
        <v>56.745669999999997</v>
      </c>
      <c r="I33" s="118">
        <f t="shared" si="20"/>
        <v>58.67503</v>
      </c>
      <c r="J33" s="260">
        <v>48.67</v>
      </c>
      <c r="K33" s="113">
        <v>29.468</v>
      </c>
      <c r="L33" s="113">
        <v>49.210799999999999</v>
      </c>
      <c r="M33" s="113">
        <v>51.671340000000001</v>
      </c>
      <c r="N33" s="113">
        <v>54.668280000000003</v>
      </c>
      <c r="O33" s="113">
        <v>56.745669999999997</v>
      </c>
      <c r="P33" s="223">
        <v>58.67503</v>
      </c>
      <c r="Q33" s="239">
        <v>0</v>
      </c>
      <c r="R33" s="114">
        <v>0</v>
      </c>
      <c r="S33" s="114">
        <v>0</v>
      </c>
      <c r="T33" s="114">
        <v>0</v>
      </c>
      <c r="U33" s="114">
        <v>0</v>
      </c>
      <c r="V33" s="240">
        <v>0</v>
      </c>
      <c r="W33" s="112">
        <v>2287.4</v>
      </c>
      <c r="X33" s="113">
        <v>2273.6999999999998</v>
      </c>
      <c r="Y33" s="113">
        <v>2298.6999999999998</v>
      </c>
      <c r="Z33" s="113">
        <v>2298.6999999999998</v>
      </c>
      <c r="AA33" s="113">
        <v>2298.6999999999998</v>
      </c>
      <c r="AB33" s="115">
        <v>2298.6999999999998</v>
      </c>
      <c r="AC33" s="81">
        <f t="shared" si="7"/>
        <v>40426.973128151323</v>
      </c>
      <c r="AD33" s="82">
        <f t="shared" si="7"/>
        <v>44010.727741859824</v>
      </c>
      <c r="AE33" s="82">
        <f t="shared" si="7"/>
        <v>47418.975217876774</v>
      </c>
      <c r="AF33" s="82">
        <f t="shared" si="7"/>
        <v>50311.532605385648</v>
      </c>
      <c r="AG33" s="82">
        <f t="shared" si="7"/>
        <v>52323.993996606783</v>
      </c>
      <c r="AH33" s="83">
        <f t="shared" si="7"/>
        <v>54416.95378547295</v>
      </c>
      <c r="AI33" s="138">
        <v>1109.6719000000001</v>
      </c>
      <c r="AJ33" s="114">
        <v>1200.8063</v>
      </c>
      <c r="AK33" s="114">
        <v>1308.0239799999999</v>
      </c>
      <c r="AL33" s="114">
        <v>1387.8134399999999</v>
      </c>
      <c r="AM33" s="114">
        <v>1443.3259800000001</v>
      </c>
      <c r="AN33" s="117">
        <v>1501.0590199999999</v>
      </c>
      <c r="AO33" s="127"/>
    </row>
    <row r="34" spans="1:41" s="121" customFormat="1" ht="30.75" customHeight="1" x14ac:dyDescent="0.25">
      <c r="A34" s="180" t="s">
        <v>49</v>
      </c>
      <c r="B34" s="126"/>
      <c r="C34" s="112">
        <v>760.3</v>
      </c>
      <c r="D34" s="113">
        <v>946.72519999999997</v>
      </c>
      <c r="E34" s="113">
        <v>1013.94269</v>
      </c>
      <c r="F34" s="113">
        <f t="shared" si="22"/>
        <v>1064.6398200000001</v>
      </c>
      <c r="G34" s="113">
        <f t="shared" si="20"/>
        <v>1126.3889300000001</v>
      </c>
      <c r="H34" s="113">
        <f t="shared" si="20"/>
        <v>1169.1917100000001</v>
      </c>
      <c r="I34" s="118">
        <f t="shared" si="20"/>
        <v>1208.9442300000001</v>
      </c>
      <c r="J34" s="260">
        <v>760.3</v>
      </c>
      <c r="K34" s="113">
        <v>946.72519999999997</v>
      </c>
      <c r="L34" s="113">
        <v>1013.94269</v>
      </c>
      <c r="M34" s="113">
        <v>1064.6398200000001</v>
      </c>
      <c r="N34" s="113">
        <v>1126.3889300000001</v>
      </c>
      <c r="O34" s="113">
        <v>1169.1917100000001</v>
      </c>
      <c r="P34" s="223">
        <v>1208.9442300000001</v>
      </c>
      <c r="Q34" s="239">
        <v>0</v>
      </c>
      <c r="R34" s="114">
        <v>0</v>
      </c>
      <c r="S34" s="114">
        <v>0</v>
      </c>
      <c r="T34" s="114">
        <v>0</v>
      </c>
      <c r="U34" s="114">
        <v>0</v>
      </c>
      <c r="V34" s="240">
        <v>0</v>
      </c>
      <c r="W34" s="112">
        <v>791.9</v>
      </c>
      <c r="X34" s="113">
        <v>729.6</v>
      </c>
      <c r="Y34" s="113">
        <v>710.8</v>
      </c>
      <c r="Z34" s="113">
        <v>710.8</v>
      </c>
      <c r="AA34" s="113">
        <v>710.8</v>
      </c>
      <c r="AB34" s="115">
        <v>710.8</v>
      </c>
      <c r="AC34" s="81">
        <f t="shared" si="7"/>
        <v>47341.509870774928</v>
      </c>
      <c r="AD34" s="82">
        <f t="shared" si="7"/>
        <v>48803.45394736842</v>
      </c>
      <c r="AE34" s="82">
        <f t="shared" si="7"/>
        <v>52207.865550553375</v>
      </c>
      <c r="AF34" s="82">
        <f t="shared" si="7"/>
        <v>54913.434393172014</v>
      </c>
      <c r="AG34" s="82">
        <f t="shared" si="7"/>
        <v>57109.971159257169</v>
      </c>
      <c r="AH34" s="83">
        <f t="shared" si="7"/>
        <v>59394.370193209536</v>
      </c>
      <c r="AI34" s="138">
        <v>449.87689999999998</v>
      </c>
      <c r="AJ34" s="114">
        <v>427.28399999999999</v>
      </c>
      <c r="AK34" s="114">
        <v>445.31220999999999</v>
      </c>
      <c r="AL34" s="114">
        <v>468.38963000000001</v>
      </c>
      <c r="AM34" s="114">
        <v>487.12520999999998</v>
      </c>
      <c r="AN34" s="117">
        <v>506.61022000000003</v>
      </c>
      <c r="AO34" s="127"/>
    </row>
    <row r="35" spans="1:41" s="121" customFormat="1" ht="15" x14ac:dyDescent="0.25">
      <c r="A35" s="145" t="s">
        <v>7</v>
      </c>
      <c r="B35" s="146"/>
      <c r="C35" s="147">
        <v>255.77</v>
      </c>
      <c r="D35" s="148">
        <v>165.56460000000001</v>
      </c>
      <c r="E35" s="148">
        <v>226.21459999999999</v>
      </c>
      <c r="F35" s="148">
        <f>(E35/L35)*M35</f>
        <v>237.52533498176774</v>
      </c>
      <c r="G35" s="148">
        <f t="shared" si="20"/>
        <v>251.30179590185099</v>
      </c>
      <c r="H35" s="148">
        <f t="shared" si="20"/>
        <v>260.85126675656761</v>
      </c>
      <c r="I35" s="149">
        <f t="shared" si="20"/>
        <v>269.7202082121982</v>
      </c>
      <c r="J35" s="264">
        <v>255.77</v>
      </c>
      <c r="K35" s="148">
        <v>207.18350000000001</v>
      </c>
      <c r="L35" s="148">
        <v>227.04249999999999</v>
      </c>
      <c r="M35" s="148">
        <v>238.39463000000001</v>
      </c>
      <c r="N35" s="148">
        <v>252.22150999999999</v>
      </c>
      <c r="O35" s="148">
        <v>261.80592999999999</v>
      </c>
      <c r="P35" s="226">
        <v>270.70733000000001</v>
      </c>
      <c r="Q35" s="250">
        <v>0</v>
      </c>
      <c r="R35" s="150">
        <v>0</v>
      </c>
      <c r="S35" s="150">
        <v>0</v>
      </c>
      <c r="T35" s="150">
        <v>0</v>
      </c>
      <c r="U35" s="150">
        <v>0</v>
      </c>
      <c r="V35" s="251">
        <v>0</v>
      </c>
      <c r="W35" s="147">
        <v>1960.8</v>
      </c>
      <c r="X35" s="147">
        <v>1988.3</v>
      </c>
      <c r="Y35" s="147">
        <v>2004.6</v>
      </c>
      <c r="Z35" s="147">
        <v>2004.6</v>
      </c>
      <c r="AA35" s="147">
        <v>1894.6</v>
      </c>
      <c r="AB35" s="147">
        <v>1894.6</v>
      </c>
      <c r="AC35" s="152">
        <f t="shared" si="7"/>
        <v>52885.301917584649</v>
      </c>
      <c r="AD35" s="153">
        <f t="shared" si="7"/>
        <v>54852.97322670959</v>
      </c>
      <c r="AE35" s="153">
        <f t="shared" si="7"/>
        <v>60050.633542851443</v>
      </c>
      <c r="AF35" s="153">
        <f t="shared" si="7"/>
        <v>61016.744820246771</v>
      </c>
      <c r="AG35" s="153">
        <f t="shared" si="7"/>
        <v>62110.29592878004</v>
      </c>
      <c r="AH35" s="154">
        <f t="shared" si="7"/>
        <v>64594.549421161901</v>
      </c>
      <c r="AI35" s="155">
        <v>1244.3699999999999</v>
      </c>
      <c r="AJ35" s="150">
        <v>1308.77</v>
      </c>
      <c r="AK35" s="150">
        <v>1444.53</v>
      </c>
      <c r="AL35" s="150">
        <v>1467.77</v>
      </c>
      <c r="AM35" s="150">
        <v>1412.09</v>
      </c>
      <c r="AN35" s="151">
        <v>1468.57</v>
      </c>
      <c r="AO35" s="127"/>
    </row>
    <row r="36" spans="1:41" s="167" customFormat="1" ht="15" x14ac:dyDescent="0.25">
      <c r="A36" s="156" t="s">
        <v>217</v>
      </c>
      <c r="B36" s="157"/>
      <c r="C36" s="158">
        <v>2649.49</v>
      </c>
      <c r="D36" s="159">
        <v>2049.5239999999999</v>
      </c>
      <c r="E36" s="159">
        <v>2137.6498000000001</v>
      </c>
      <c r="F36" s="159">
        <f>(E36/L36)*M36</f>
        <v>2492.4996639210453</v>
      </c>
      <c r="G36" s="159">
        <f t="shared" si="20"/>
        <v>2637.0646440574005</v>
      </c>
      <c r="H36" s="159">
        <f t="shared" si="20"/>
        <v>2737.2731049075928</v>
      </c>
      <c r="I36" s="160">
        <f t="shared" si="20"/>
        <v>2830.3403894508228</v>
      </c>
      <c r="J36" s="265">
        <v>3941.29</v>
      </c>
      <c r="K36" s="161">
        <f>3341290.7/1000</f>
        <v>3341.2907</v>
      </c>
      <c r="L36" s="161">
        <v>3341.2907500000001</v>
      </c>
      <c r="M36" s="161">
        <v>3895.9450099999999</v>
      </c>
      <c r="N36" s="161">
        <v>4121.9098199999999</v>
      </c>
      <c r="O36" s="161">
        <v>4278.5424000000003</v>
      </c>
      <c r="P36" s="227">
        <v>4424.0128400000003</v>
      </c>
      <c r="Q36" s="162">
        <v>2.7845599999999999</v>
      </c>
      <c r="R36" s="162">
        <v>2.7845599999999999</v>
      </c>
      <c r="S36" s="162">
        <v>3.2467999999999999</v>
      </c>
      <c r="T36" s="162">
        <v>3.4351099999999999</v>
      </c>
      <c r="U36" s="162">
        <v>3.5656500000000002</v>
      </c>
      <c r="V36" s="252">
        <v>3.6868799999999999</v>
      </c>
      <c r="W36" s="158">
        <v>1247.0999999999999</v>
      </c>
      <c r="X36" s="159">
        <v>1247.1000000000001</v>
      </c>
      <c r="Y36" s="159">
        <v>1247.1000000000001</v>
      </c>
      <c r="Z36" s="159">
        <v>1247.1000000000001</v>
      </c>
      <c r="AA36" s="159">
        <v>1247.1000000000001</v>
      </c>
      <c r="AB36" s="163">
        <v>1247.1000000000001</v>
      </c>
      <c r="AC36" s="164">
        <f t="shared" si="7"/>
        <v>26090.52869323497</v>
      </c>
      <c r="AD36" s="165">
        <f t="shared" si="7"/>
        <v>26090.528693234966</v>
      </c>
      <c r="AE36" s="165">
        <f t="shared" si="7"/>
        <v>27970.311121802581</v>
      </c>
      <c r="AF36" s="165">
        <f t="shared" si="7"/>
        <v>29696.848688958376</v>
      </c>
      <c r="AG36" s="165">
        <f t="shared" si="7"/>
        <v>30915.375003341083</v>
      </c>
      <c r="AH36" s="163">
        <f t="shared" si="7"/>
        <v>32151.989950017371</v>
      </c>
      <c r="AI36" s="164">
        <v>390.44997999999998</v>
      </c>
      <c r="AJ36" s="165">
        <v>390.44997999999998</v>
      </c>
      <c r="AK36" s="165">
        <v>418.5813</v>
      </c>
      <c r="AL36" s="165">
        <v>444.41928000000001</v>
      </c>
      <c r="AM36" s="165">
        <v>462.65476999999998</v>
      </c>
      <c r="AN36" s="166">
        <v>481.16095999999999</v>
      </c>
    </row>
    <row r="37" spans="1:41" ht="29.25" thickBot="1" x14ac:dyDescent="0.25">
      <c r="A37" s="168" t="s">
        <v>170</v>
      </c>
      <c r="B37" s="169"/>
      <c r="C37" s="170" t="e">
        <f>C8+C16+C17+C20+C23+C24+C25+C30+#REF!+C33+C34+C35+C36</f>
        <v>#REF!</v>
      </c>
      <c r="D37" s="170">
        <f t="shared" ref="D37:I37" si="23">D8+D16+D17+D20+D23+D24+D25+D30+D33+D34+D35+D36</f>
        <v>11207.549799700477</v>
      </c>
      <c r="E37" s="170">
        <f t="shared" si="23"/>
        <v>13258.852780000001</v>
      </c>
      <c r="F37" s="170">
        <f t="shared" si="23"/>
        <v>14453.296386975826</v>
      </c>
      <c r="G37" s="170">
        <f t="shared" si="23"/>
        <v>15291.003873931944</v>
      </c>
      <c r="H37" s="170">
        <f t="shared" si="23"/>
        <v>15875.17707557221</v>
      </c>
      <c r="I37" s="170">
        <f t="shared" si="23"/>
        <v>16424.599331192494</v>
      </c>
      <c r="J37" s="266" t="e">
        <f>J8+J16+J17+J20+J23+J24+J25+J30+#REF!+J33+J34+J35+J36</f>
        <v>#REF!</v>
      </c>
      <c r="K37" s="228">
        <f t="shared" ref="K37:AB37" si="24">K8+K16+K17+K20+K23+K24+K25+K30+K33+K34+K35+K36</f>
        <v>14378.0509</v>
      </c>
      <c r="L37" s="228">
        <f t="shared" si="24"/>
        <v>16438.393830000001</v>
      </c>
      <c r="M37" s="228">
        <f t="shared" si="24"/>
        <v>18114.806110000001</v>
      </c>
      <c r="N37" s="228">
        <f t="shared" si="24"/>
        <v>19156.302589999999</v>
      </c>
      <c r="O37" s="228">
        <f t="shared" si="24"/>
        <v>19880.164409999998</v>
      </c>
      <c r="P37" s="229">
        <f t="shared" si="24"/>
        <v>20560.409350000002</v>
      </c>
      <c r="Q37" s="253">
        <f t="shared" si="24"/>
        <v>272.11856</v>
      </c>
      <c r="R37" s="170">
        <f t="shared" si="24"/>
        <v>337.23056000000003</v>
      </c>
      <c r="S37" s="170">
        <f t="shared" si="24"/>
        <v>30.658370000000001</v>
      </c>
      <c r="T37" s="170">
        <f t="shared" si="24"/>
        <v>176.02141000000003</v>
      </c>
      <c r="U37" s="170">
        <f t="shared" si="24"/>
        <v>182.53316999999998</v>
      </c>
      <c r="V37" s="170">
        <f t="shared" si="24"/>
        <v>188.72468999999998</v>
      </c>
      <c r="W37" s="170">
        <f t="shared" si="24"/>
        <v>12175.199999999999</v>
      </c>
      <c r="X37" s="170">
        <f t="shared" si="24"/>
        <v>11889.8</v>
      </c>
      <c r="Y37" s="170">
        <f t="shared" si="24"/>
        <v>11790.500000000002</v>
      </c>
      <c r="Z37" s="170">
        <f t="shared" si="24"/>
        <v>11837.500000000002</v>
      </c>
      <c r="AA37" s="170">
        <f t="shared" si="24"/>
        <v>11727.500000000002</v>
      </c>
      <c r="AB37" s="170">
        <f t="shared" si="24"/>
        <v>11727.500000000002</v>
      </c>
      <c r="AC37" s="170">
        <f t="shared" ref="AC37:AH37" si="25">AI37/W37/12*1000000</f>
        <v>51489.345075782483</v>
      </c>
      <c r="AD37" s="170">
        <f t="shared" si="25"/>
        <v>55121.108148721316</v>
      </c>
      <c r="AE37" s="170">
        <f t="shared" si="25"/>
        <v>58671.672957041679</v>
      </c>
      <c r="AF37" s="170">
        <f t="shared" si="25"/>
        <v>61096.531854980625</v>
      </c>
      <c r="AG37" s="170">
        <f t="shared" si="25"/>
        <v>63027.959141618696</v>
      </c>
      <c r="AH37" s="170">
        <f t="shared" si="25"/>
        <v>65431.528316634663</v>
      </c>
      <c r="AI37" s="170">
        <f t="shared" ref="AI37:AN37" si="26">AI8+AI16+AI17+AI20+AI23+AI24+AI25+AI30+AI33+AI34+AI35+AI36</f>
        <v>7522.7168900000015</v>
      </c>
      <c r="AJ37" s="170">
        <f t="shared" si="26"/>
        <v>7864.5474199999999</v>
      </c>
      <c r="AK37" s="170">
        <f t="shared" si="26"/>
        <v>8301.2203200000004</v>
      </c>
      <c r="AL37" s="170">
        <f t="shared" si="26"/>
        <v>8678.7623499999991</v>
      </c>
      <c r="AM37" s="170">
        <f t="shared" si="26"/>
        <v>8869.9246899999998</v>
      </c>
      <c r="AN37" s="170">
        <f t="shared" si="26"/>
        <v>9208.1789799999988</v>
      </c>
    </row>
    <row r="38" spans="1:41" x14ac:dyDescent="0.2"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</row>
    <row r="39" spans="1:41" hidden="1" x14ac:dyDescent="0.2">
      <c r="K39" s="171"/>
      <c r="L39" s="171"/>
      <c r="M39" s="171"/>
      <c r="N39" s="171"/>
      <c r="O39" s="171"/>
      <c r="P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</row>
    <row r="40" spans="1:41" ht="15" x14ac:dyDescent="0.2">
      <c r="J40" s="171"/>
      <c r="K40" s="171"/>
      <c r="L40" s="171"/>
      <c r="M40" s="171"/>
      <c r="N40" s="171"/>
      <c r="O40" s="171"/>
      <c r="P40" s="171"/>
      <c r="Q40" s="171"/>
      <c r="W40" s="172" t="s">
        <v>237</v>
      </c>
      <c r="AI40" s="171"/>
    </row>
    <row r="41" spans="1:41" ht="15" x14ac:dyDescent="0.2">
      <c r="W41" s="172" t="s">
        <v>238</v>
      </c>
      <c r="AE41" s="171"/>
      <c r="AF41" s="171"/>
      <c r="AG41" s="171"/>
      <c r="AH41" s="171"/>
    </row>
    <row r="42" spans="1:41" ht="15" x14ac:dyDescent="0.2">
      <c r="W42" s="172" t="s">
        <v>261</v>
      </c>
      <c r="AI42" s="171"/>
      <c r="AJ42" s="171"/>
      <c r="AK42" s="171"/>
      <c r="AL42" s="171"/>
      <c r="AM42" s="171"/>
      <c r="AN42" s="171"/>
    </row>
    <row r="45" spans="1:41" ht="15" x14ac:dyDescent="0.25">
      <c r="W45" s="173" t="s">
        <v>266</v>
      </c>
    </row>
  </sheetData>
  <mergeCells count="39">
    <mergeCell ref="C2:R2"/>
    <mergeCell ref="S2:V2"/>
    <mergeCell ref="AK2:AN2"/>
    <mergeCell ref="B4:B7"/>
    <mergeCell ref="C4:I4"/>
    <mergeCell ref="J4:V4"/>
    <mergeCell ref="W4:AN4"/>
    <mergeCell ref="C5:I5"/>
    <mergeCell ref="J5:P5"/>
    <mergeCell ref="Q5:V5"/>
    <mergeCell ref="W5:AB5"/>
    <mergeCell ref="AC5:AH5"/>
    <mergeCell ref="AI5:AN5"/>
    <mergeCell ref="C6:C7"/>
    <mergeCell ref="D6:D7"/>
    <mergeCell ref="E6:E7"/>
    <mergeCell ref="F6:F7"/>
    <mergeCell ref="G6:I6"/>
    <mergeCell ref="J6:J7"/>
    <mergeCell ref="K6:K7"/>
    <mergeCell ref="AC6:AC7"/>
    <mergeCell ref="L6:L7"/>
    <mergeCell ref="M6:M7"/>
    <mergeCell ref="N6:P6"/>
    <mergeCell ref="Q6:Q7"/>
    <mergeCell ref="R6:R7"/>
    <mergeCell ref="S6:S7"/>
    <mergeCell ref="T6:V6"/>
    <mergeCell ref="W6:W7"/>
    <mergeCell ref="X6:X7"/>
    <mergeCell ref="Y6:Y7"/>
    <mergeCell ref="Z6:AB6"/>
    <mergeCell ref="AL6:AN6"/>
    <mergeCell ref="AD6:AD7"/>
    <mergeCell ref="AE6:AE7"/>
    <mergeCell ref="AF6:AH6"/>
    <mergeCell ref="AI6:AI7"/>
    <mergeCell ref="AJ6:AJ7"/>
    <mergeCell ref="AK6:AK7"/>
  </mergeCells>
  <pageMargins left="0.39370078740157483" right="0" top="0.19685039370078741" bottom="0.19685039370078741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47"/>
  <sheetViews>
    <sheetView topLeftCell="A28" zoomScale="65" zoomScaleNormal="65" workbookViewId="0">
      <selection activeCell="A39" sqref="A39"/>
    </sheetView>
  </sheetViews>
  <sheetFormatPr defaultColWidth="8.85546875" defaultRowHeight="12.75" x14ac:dyDescent="0.2"/>
  <cols>
    <col min="1" max="1" width="41.7109375" style="2" customWidth="1"/>
    <col min="2" max="2" width="11.7109375" style="6" customWidth="1"/>
    <col min="3" max="3" width="10.5703125" style="2" customWidth="1"/>
    <col min="4" max="4" width="11.42578125" style="2" customWidth="1"/>
    <col min="5" max="5" width="12" style="2" customWidth="1"/>
    <col min="6" max="6" width="11.85546875" style="2" customWidth="1"/>
    <col min="7" max="7" width="11.5703125" style="2" customWidth="1"/>
    <col min="8" max="8" width="12" style="2" customWidth="1"/>
    <col min="9" max="9" width="19.28515625" style="8" customWidth="1"/>
    <col min="10" max="10" width="14" style="2" customWidth="1"/>
    <col min="11" max="11" width="13.7109375" style="2" customWidth="1"/>
    <col min="12" max="12" width="14.140625" style="2" customWidth="1"/>
    <col min="13" max="13" width="15.42578125" style="2" customWidth="1"/>
    <col min="14" max="14" width="15.5703125" style="2" customWidth="1"/>
    <col min="15" max="15" width="14.7109375" style="2" customWidth="1"/>
    <col min="16" max="16" width="12.7109375" style="2" customWidth="1"/>
    <col min="17" max="17" width="12.42578125" style="2" customWidth="1"/>
    <col min="18" max="18" width="12.140625" style="2" customWidth="1"/>
    <col min="19" max="19" width="12.42578125" style="2" customWidth="1"/>
    <col min="20" max="20" width="13.140625" style="2" customWidth="1"/>
    <col min="21" max="21" width="13.42578125" style="2" customWidth="1"/>
    <col min="22" max="16384" width="8.85546875" style="2"/>
  </cols>
  <sheetData>
    <row r="1" spans="1:33" ht="22.5" customHeight="1" x14ac:dyDescent="0.2">
      <c r="A1" s="278"/>
      <c r="B1" s="8"/>
      <c r="C1" s="278"/>
      <c r="D1" s="278"/>
      <c r="E1" s="278"/>
      <c r="F1" s="278"/>
      <c r="G1" s="278"/>
      <c r="H1" s="278"/>
      <c r="I1" s="279"/>
      <c r="J1" s="279"/>
      <c r="K1" s="279"/>
      <c r="L1" s="279"/>
      <c r="M1" s="279"/>
      <c r="N1" s="410"/>
      <c r="O1" s="410"/>
      <c r="P1" s="410"/>
      <c r="Q1" s="410"/>
      <c r="R1" s="410"/>
      <c r="S1" s="410"/>
      <c r="T1" s="410"/>
      <c r="U1" s="411"/>
      <c r="V1" s="280"/>
      <c r="W1" s="280"/>
      <c r="X1" s="280"/>
      <c r="Y1" s="280"/>
      <c r="Z1" s="280"/>
      <c r="AA1" s="280"/>
      <c r="AB1" s="280"/>
    </row>
    <row r="2" spans="1:33" ht="24" customHeight="1" x14ac:dyDescent="0.3">
      <c r="A2" s="3"/>
      <c r="B2" s="7"/>
      <c r="C2" s="3"/>
      <c r="D2" s="3"/>
      <c r="E2" s="3"/>
      <c r="F2" s="3"/>
      <c r="G2" s="3"/>
      <c r="H2" s="3"/>
      <c r="I2" s="57"/>
      <c r="J2" s="57"/>
      <c r="K2" s="57"/>
      <c r="L2" s="57"/>
      <c r="M2" s="57"/>
      <c r="N2" s="412" t="s">
        <v>281</v>
      </c>
      <c r="O2" s="412"/>
      <c r="P2" s="412"/>
      <c r="Q2" s="412"/>
      <c r="R2" s="412"/>
      <c r="S2" s="412"/>
      <c r="T2" s="412"/>
      <c r="U2" s="413"/>
    </row>
    <row r="3" spans="1:33" ht="54.75" customHeight="1" x14ac:dyDescent="0.3">
      <c r="A3" s="414" t="s">
        <v>67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210"/>
      <c r="U3" s="1"/>
    </row>
    <row r="4" spans="1:33" ht="18" customHeight="1" x14ac:dyDescent="0.25">
      <c r="A4" s="415" t="s">
        <v>30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8" customHeight="1" x14ac:dyDescent="0.25">
      <c r="A5" s="20"/>
      <c r="B5" s="49"/>
      <c r="C5" s="20"/>
      <c r="D5" s="20"/>
      <c r="E5" s="20"/>
      <c r="F5" s="20"/>
      <c r="G5" s="20"/>
      <c r="H5" s="20"/>
      <c r="I5" s="47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18" customHeight="1" x14ac:dyDescent="0.25">
      <c r="A6" s="416" t="s">
        <v>54</v>
      </c>
      <c r="B6" s="417" t="s">
        <v>69</v>
      </c>
      <c r="C6" s="418"/>
      <c r="D6" s="418"/>
      <c r="E6" s="418"/>
      <c r="F6" s="418"/>
      <c r="G6" s="418"/>
      <c r="H6" s="419"/>
      <c r="I6" s="416" t="s">
        <v>31</v>
      </c>
      <c r="J6" s="418" t="s">
        <v>250</v>
      </c>
      <c r="K6" s="418"/>
      <c r="L6" s="418"/>
      <c r="M6" s="418"/>
      <c r="N6" s="418"/>
      <c r="O6" s="419"/>
      <c r="P6" s="416" t="s">
        <v>138</v>
      </c>
      <c r="Q6" s="416"/>
      <c r="R6" s="416"/>
      <c r="S6" s="416"/>
      <c r="T6" s="416"/>
      <c r="U6" s="4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8.5" customHeight="1" x14ac:dyDescent="0.25">
      <c r="A7" s="416"/>
      <c r="B7" s="208" t="s">
        <v>9</v>
      </c>
      <c r="C7" s="208" t="s">
        <v>162</v>
      </c>
      <c r="D7" s="208" t="s">
        <v>192</v>
      </c>
      <c r="E7" s="208" t="s">
        <v>191</v>
      </c>
      <c r="F7" s="208" t="s">
        <v>242</v>
      </c>
      <c r="G7" s="208" t="s">
        <v>254</v>
      </c>
      <c r="H7" s="208" t="s">
        <v>265</v>
      </c>
      <c r="I7" s="416"/>
      <c r="J7" s="208" t="s">
        <v>162</v>
      </c>
      <c r="K7" s="208" t="s">
        <v>192</v>
      </c>
      <c r="L7" s="208" t="s">
        <v>191</v>
      </c>
      <c r="M7" s="208" t="s">
        <v>242</v>
      </c>
      <c r="N7" s="208" t="s">
        <v>254</v>
      </c>
      <c r="O7" s="208" t="s">
        <v>265</v>
      </c>
      <c r="P7" s="208" t="s">
        <v>162</v>
      </c>
      <c r="Q7" s="208" t="s">
        <v>192</v>
      </c>
      <c r="R7" s="208" t="s">
        <v>191</v>
      </c>
      <c r="S7" s="208" t="s">
        <v>242</v>
      </c>
      <c r="T7" s="208" t="s">
        <v>254</v>
      </c>
      <c r="U7" s="208" t="s">
        <v>265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99" customHeight="1" x14ac:dyDescent="0.25">
      <c r="A8" s="51" t="s">
        <v>32</v>
      </c>
      <c r="B8" s="208">
        <v>1</v>
      </c>
      <c r="C8" s="208">
        <v>2</v>
      </c>
      <c r="D8" s="208">
        <v>3</v>
      </c>
      <c r="E8" s="208">
        <v>4</v>
      </c>
      <c r="F8" s="208">
        <v>5</v>
      </c>
      <c r="G8" s="208">
        <v>6</v>
      </c>
      <c r="H8" s="208">
        <v>7</v>
      </c>
      <c r="I8" s="208">
        <v>8</v>
      </c>
      <c r="J8" s="208">
        <v>9</v>
      </c>
      <c r="K8" s="208">
        <v>10</v>
      </c>
      <c r="L8" s="208">
        <v>11</v>
      </c>
      <c r="M8" s="208">
        <v>12</v>
      </c>
      <c r="N8" s="208">
        <v>13</v>
      </c>
      <c r="O8" s="208">
        <v>14</v>
      </c>
      <c r="P8" s="21" t="s">
        <v>193</v>
      </c>
      <c r="Q8" s="21" t="s">
        <v>194</v>
      </c>
      <c r="R8" s="21" t="s">
        <v>195</v>
      </c>
      <c r="S8" s="21" t="s">
        <v>196</v>
      </c>
      <c r="T8" s="21" t="s">
        <v>197</v>
      </c>
      <c r="U8" s="208" t="s">
        <v>198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15.75" x14ac:dyDescent="0.25">
      <c r="A9" s="398" t="s">
        <v>33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40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15.75" x14ac:dyDescent="0.2">
      <c r="A10" s="401" t="s">
        <v>182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3"/>
    </row>
    <row r="11" spans="1:33" ht="15.75" x14ac:dyDescent="0.2">
      <c r="A11" s="22" t="s">
        <v>173</v>
      </c>
      <c r="B11" s="281"/>
      <c r="C11" s="33"/>
      <c r="D11" s="34"/>
      <c r="E11" s="34"/>
      <c r="F11" s="34"/>
      <c r="G11" s="34"/>
      <c r="H11" s="34"/>
      <c r="I11" s="282"/>
      <c r="J11" s="34"/>
      <c r="K11" s="34"/>
      <c r="L11" s="34"/>
      <c r="M11" s="34"/>
      <c r="N11" s="34"/>
      <c r="O11" s="34"/>
      <c r="P11" s="282"/>
      <c r="Q11" s="282"/>
      <c r="R11" s="282"/>
      <c r="S11" s="282"/>
      <c r="T11" s="283"/>
      <c r="U11" s="284"/>
    </row>
    <row r="12" spans="1:33" ht="31.5" x14ac:dyDescent="0.2">
      <c r="A12" s="52" t="s">
        <v>174</v>
      </c>
      <c r="B12" s="24" t="s">
        <v>35</v>
      </c>
      <c r="C12" s="35">
        <v>140.4</v>
      </c>
      <c r="D12" s="35"/>
      <c r="E12" s="35"/>
      <c r="F12" s="35"/>
      <c r="G12" s="35"/>
      <c r="H12" s="35"/>
      <c r="I12" s="23">
        <v>75.790000000000006</v>
      </c>
      <c r="J12" s="35">
        <f>C12*I12/1000</f>
        <v>10.640916000000001</v>
      </c>
      <c r="K12" s="35">
        <f>D12*I12/1000</f>
        <v>0</v>
      </c>
      <c r="L12" s="35">
        <f>E12*I12/1000</f>
        <v>0</v>
      </c>
      <c r="M12" s="35">
        <f>F12*I12/1000</f>
        <v>0</v>
      </c>
      <c r="N12" s="35">
        <f>G12*I12/1000</f>
        <v>0</v>
      </c>
      <c r="O12" s="35">
        <f>H12*I12/1000</f>
        <v>0</v>
      </c>
      <c r="P12" s="285">
        <v>75.5</v>
      </c>
      <c r="Q12" s="285">
        <f>K12/J12*100</f>
        <v>0</v>
      </c>
      <c r="R12" s="285" t="e">
        <f>L12/K12*100</f>
        <v>#DIV/0!</v>
      </c>
      <c r="S12" s="285" t="e">
        <f t="shared" ref="S12:U15" si="0">M12/L12*100</f>
        <v>#DIV/0!</v>
      </c>
      <c r="T12" s="285" t="e">
        <f t="shared" si="0"/>
        <v>#DIV/0!</v>
      </c>
      <c r="U12" s="286" t="e">
        <f t="shared" si="0"/>
        <v>#DIV/0!</v>
      </c>
    </row>
    <row r="13" spans="1:33" ht="47.25" x14ac:dyDescent="0.2">
      <c r="A13" s="52" t="s">
        <v>175</v>
      </c>
      <c r="B13" s="24" t="s">
        <v>35</v>
      </c>
      <c r="C13" s="35">
        <v>106.6</v>
      </c>
      <c r="D13" s="35"/>
      <c r="E13" s="35"/>
      <c r="F13" s="35"/>
      <c r="G13" s="35"/>
      <c r="H13" s="35"/>
      <c r="I13" s="23">
        <v>74.56</v>
      </c>
      <c r="J13" s="35">
        <f t="shared" ref="J13:J15" si="1">C13*I13/1000</f>
        <v>7.9480959999999996</v>
      </c>
      <c r="K13" s="35">
        <f t="shared" ref="K13:K15" si="2">D13*I13/1000</f>
        <v>0</v>
      </c>
      <c r="L13" s="35">
        <f t="shared" ref="L13:L15" si="3">E13*I13/1000</f>
        <v>0</v>
      </c>
      <c r="M13" s="35">
        <f t="shared" ref="M13:M15" si="4">F13*I13/1000</f>
        <v>0</v>
      </c>
      <c r="N13" s="35">
        <f t="shared" ref="N13:N15" si="5">G13*I13/1000</f>
        <v>0</v>
      </c>
      <c r="O13" s="35">
        <f t="shared" ref="O13:O15" si="6">H13*I13/1000</f>
        <v>0</v>
      </c>
      <c r="P13" s="285">
        <v>42.2</v>
      </c>
      <c r="Q13" s="285">
        <f t="shared" ref="Q13:R15" si="7">K13/J13*100</f>
        <v>0</v>
      </c>
      <c r="R13" s="285" t="e">
        <f t="shared" si="7"/>
        <v>#DIV/0!</v>
      </c>
      <c r="S13" s="285" t="e">
        <f t="shared" si="0"/>
        <v>#DIV/0!</v>
      </c>
      <c r="T13" s="285" t="e">
        <f t="shared" si="0"/>
        <v>#DIV/0!</v>
      </c>
      <c r="U13" s="286" t="e">
        <f t="shared" si="0"/>
        <v>#DIV/0!</v>
      </c>
    </row>
    <row r="14" spans="1:33" ht="47.25" x14ac:dyDescent="0.2">
      <c r="A14" s="52" t="s">
        <v>176</v>
      </c>
      <c r="B14" s="24" t="s">
        <v>35</v>
      </c>
      <c r="C14" s="35">
        <v>339.5</v>
      </c>
      <c r="D14" s="35"/>
      <c r="E14" s="35"/>
      <c r="F14" s="35"/>
      <c r="G14" s="35"/>
      <c r="H14" s="35"/>
      <c r="I14" s="23">
        <v>46.58</v>
      </c>
      <c r="J14" s="35">
        <f t="shared" si="1"/>
        <v>15.81391</v>
      </c>
      <c r="K14" s="35">
        <f t="shared" si="2"/>
        <v>0</v>
      </c>
      <c r="L14" s="35">
        <f t="shared" si="3"/>
        <v>0</v>
      </c>
      <c r="M14" s="35">
        <f t="shared" si="4"/>
        <v>0</v>
      </c>
      <c r="N14" s="35">
        <f t="shared" si="5"/>
        <v>0</v>
      </c>
      <c r="O14" s="35">
        <f t="shared" si="6"/>
        <v>0</v>
      </c>
      <c r="P14" s="285">
        <v>76.099999999999994</v>
      </c>
      <c r="Q14" s="285">
        <f t="shared" si="7"/>
        <v>0</v>
      </c>
      <c r="R14" s="285" t="e">
        <f t="shared" si="7"/>
        <v>#DIV/0!</v>
      </c>
      <c r="S14" s="285" t="e">
        <f t="shared" si="0"/>
        <v>#DIV/0!</v>
      </c>
      <c r="T14" s="285" t="e">
        <f t="shared" si="0"/>
        <v>#DIV/0!</v>
      </c>
      <c r="U14" s="286" t="e">
        <f t="shared" si="0"/>
        <v>#DIV/0!</v>
      </c>
    </row>
    <row r="15" spans="1:33" ht="47.25" x14ac:dyDescent="0.2">
      <c r="A15" s="53" t="s">
        <v>177</v>
      </c>
      <c r="B15" s="30" t="s">
        <v>35</v>
      </c>
      <c r="C15" s="36">
        <v>1795.1</v>
      </c>
      <c r="D15" s="36"/>
      <c r="E15" s="36"/>
      <c r="F15" s="36"/>
      <c r="G15" s="36"/>
      <c r="H15" s="36"/>
      <c r="I15" s="25">
        <v>104.62</v>
      </c>
      <c r="J15" s="36">
        <f t="shared" si="1"/>
        <v>187.80336199999999</v>
      </c>
      <c r="K15" s="36">
        <f t="shared" si="2"/>
        <v>0</v>
      </c>
      <c r="L15" s="36">
        <f t="shared" si="3"/>
        <v>0</v>
      </c>
      <c r="M15" s="36">
        <f t="shared" si="4"/>
        <v>0</v>
      </c>
      <c r="N15" s="36">
        <f t="shared" si="5"/>
        <v>0</v>
      </c>
      <c r="O15" s="36">
        <f t="shared" si="6"/>
        <v>0</v>
      </c>
      <c r="P15" s="287">
        <v>99.4</v>
      </c>
      <c r="Q15" s="287">
        <f t="shared" si="7"/>
        <v>0</v>
      </c>
      <c r="R15" s="287" t="e">
        <f t="shared" si="7"/>
        <v>#DIV/0!</v>
      </c>
      <c r="S15" s="287" t="e">
        <f t="shared" si="0"/>
        <v>#DIV/0!</v>
      </c>
      <c r="T15" s="287" t="e">
        <f t="shared" si="0"/>
        <v>#DIV/0!</v>
      </c>
      <c r="U15" s="288" t="e">
        <f t="shared" si="0"/>
        <v>#DIV/0!</v>
      </c>
    </row>
    <row r="16" spans="1:33" ht="15.75" x14ac:dyDescent="0.2">
      <c r="A16" s="26"/>
      <c r="B16" s="28" t="s">
        <v>53</v>
      </c>
      <c r="C16" s="37" t="s">
        <v>53</v>
      </c>
      <c r="D16" s="37" t="s">
        <v>53</v>
      </c>
      <c r="E16" s="37" t="s">
        <v>53</v>
      </c>
      <c r="F16" s="37"/>
      <c r="G16" s="37" t="s">
        <v>53</v>
      </c>
      <c r="H16" s="37"/>
      <c r="I16" s="27" t="s">
        <v>53</v>
      </c>
      <c r="J16" s="37">
        <f>J12+J13+J14+J15</f>
        <v>222.20628399999998</v>
      </c>
      <c r="K16" s="37">
        <f t="shared" ref="K16:O16" si="8">K12+K13+K14+K15</f>
        <v>0</v>
      </c>
      <c r="L16" s="37">
        <f t="shared" si="8"/>
        <v>0</v>
      </c>
      <c r="M16" s="37">
        <f t="shared" si="8"/>
        <v>0</v>
      </c>
      <c r="N16" s="37">
        <f t="shared" si="8"/>
        <v>0</v>
      </c>
      <c r="O16" s="37">
        <f t="shared" si="8"/>
        <v>0</v>
      </c>
      <c r="P16" s="289"/>
      <c r="Q16" s="45"/>
      <c r="R16" s="45"/>
      <c r="S16" s="45"/>
      <c r="T16" s="45"/>
      <c r="U16" s="46"/>
    </row>
    <row r="17" spans="1:22" ht="73.150000000000006" customHeight="1" x14ac:dyDescent="0.2">
      <c r="A17" s="54" t="s">
        <v>178</v>
      </c>
      <c r="B17" s="39"/>
      <c r="C17" s="38"/>
      <c r="D17" s="40"/>
      <c r="E17" s="38"/>
      <c r="F17" s="38"/>
      <c r="G17" s="38"/>
      <c r="H17" s="38"/>
      <c r="I17" s="29"/>
      <c r="J17" s="38"/>
      <c r="K17" s="38"/>
      <c r="L17" s="38"/>
      <c r="M17" s="38"/>
      <c r="N17" s="38"/>
      <c r="O17" s="38"/>
      <c r="P17" s="44"/>
      <c r="Q17" s="44"/>
      <c r="R17" s="44"/>
      <c r="S17" s="44"/>
      <c r="T17" s="44"/>
      <c r="U17" s="56"/>
    </row>
    <row r="18" spans="1:22" ht="16.899999999999999" customHeight="1" x14ac:dyDescent="0.25">
      <c r="A18" s="268" t="s">
        <v>179</v>
      </c>
      <c r="B18" s="269" t="s">
        <v>34</v>
      </c>
      <c r="C18" s="270">
        <v>89.1</v>
      </c>
      <c r="D18" s="270">
        <v>88.6</v>
      </c>
      <c r="E18" s="270">
        <v>88.6</v>
      </c>
      <c r="F18" s="270">
        <v>90</v>
      </c>
      <c r="G18" s="270">
        <v>90</v>
      </c>
      <c r="H18" s="270">
        <v>90</v>
      </c>
      <c r="I18" s="271">
        <v>5814.27</v>
      </c>
      <c r="J18" s="35">
        <f>C18*I18/1000</f>
        <v>518.05145700000003</v>
      </c>
      <c r="K18" s="35">
        <f>D18*I18/1000</f>
        <v>515.14432199999999</v>
      </c>
      <c r="L18" s="35">
        <f>E18*I18/1000</f>
        <v>515.14432199999999</v>
      </c>
      <c r="M18" s="35">
        <f>F18*I18/1000</f>
        <v>523.28430000000003</v>
      </c>
      <c r="N18" s="35">
        <f>G18*I18/1000</f>
        <v>523.28430000000003</v>
      </c>
      <c r="O18" s="35">
        <f>H18*I18/1000</f>
        <v>523.28430000000003</v>
      </c>
      <c r="P18" s="285">
        <v>94</v>
      </c>
      <c r="Q18" s="285">
        <f>K18/J18*100</f>
        <v>99.438832772166094</v>
      </c>
      <c r="R18" s="285">
        <f t="shared" ref="R18:U22" si="9">L18/K18*100</f>
        <v>100</v>
      </c>
      <c r="S18" s="285">
        <f t="shared" si="9"/>
        <v>101.58013544018058</v>
      </c>
      <c r="T18" s="285">
        <f t="shared" si="9"/>
        <v>100</v>
      </c>
      <c r="U18" s="285">
        <f t="shared" si="9"/>
        <v>100</v>
      </c>
    </row>
    <row r="19" spans="1:22" ht="31.5" x14ac:dyDescent="0.25">
      <c r="A19" s="268" t="s">
        <v>180</v>
      </c>
      <c r="B19" s="269" t="s">
        <v>34</v>
      </c>
      <c r="C19" s="270">
        <v>41.7</v>
      </c>
      <c r="D19" s="270">
        <v>43.5</v>
      </c>
      <c r="E19" s="270">
        <v>43</v>
      </c>
      <c r="F19" s="270">
        <v>43</v>
      </c>
      <c r="G19" s="270">
        <v>43</v>
      </c>
      <c r="H19" s="270">
        <v>43</v>
      </c>
      <c r="I19" s="23">
        <v>533.54999999999995</v>
      </c>
      <c r="J19" s="35">
        <f>C19*I19/1000</f>
        <v>22.249034999999999</v>
      </c>
      <c r="K19" s="35">
        <f t="shared" ref="K19" si="10">D19*I19/1000</f>
        <v>23.209425</v>
      </c>
      <c r="L19" s="35">
        <f t="shared" ref="L19:L20" si="11">E19*I19/1000</f>
        <v>22.942649999999997</v>
      </c>
      <c r="M19" s="35">
        <f t="shared" ref="M19" si="12">F19*I19/1000</f>
        <v>22.942649999999997</v>
      </c>
      <c r="N19" s="35">
        <f t="shared" ref="N19:N20" si="13">G19*I19/1000</f>
        <v>22.942649999999997</v>
      </c>
      <c r="O19" s="35">
        <f t="shared" ref="O19:O20" si="14">H19*I19/1000</f>
        <v>22.942649999999997</v>
      </c>
      <c r="P19" s="285">
        <v>51.4</v>
      </c>
      <c r="Q19" s="285">
        <f t="shared" ref="Q19:Q22" si="15">K19/J19*100</f>
        <v>104.31654676258992</v>
      </c>
      <c r="R19" s="285">
        <f t="shared" si="9"/>
        <v>98.850574712643663</v>
      </c>
      <c r="S19" s="285">
        <f t="shared" si="9"/>
        <v>100</v>
      </c>
      <c r="T19" s="285">
        <f t="shared" si="9"/>
        <v>100</v>
      </c>
      <c r="U19" s="285">
        <f t="shared" si="9"/>
        <v>100</v>
      </c>
    </row>
    <row r="20" spans="1:22" ht="31.5" x14ac:dyDescent="0.25">
      <c r="A20" s="272" t="s">
        <v>267</v>
      </c>
      <c r="B20" s="269" t="s">
        <v>268</v>
      </c>
      <c r="C20" s="273">
        <v>548</v>
      </c>
      <c r="D20" s="270">
        <v>1092</v>
      </c>
      <c r="E20" s="270">
        <v>1100</v>
      </c>
      <c r="F20" s="270">
        <v>1100</v>
      </c>
      <c r="G20" s="270">
        <v>1100</v>
      </c>
      <c r="H20" s="270">
        <v>1200</v>
      </c>
      <c r="I20" s="23">
        <v>3.2</v>
      </c>
      <c r="J20" s="35">
        <f t="shared" ref="J20" si="16">C20*I20/1000</f>
        <v>1.7536</v>
      </c>
      <c r="K20" s="35">
        <f>D20*I20/1000</f>
        <v>3.4944000000000002</v>
      </c>
      <c r="L20" s="35">
        <f t="shared" si="11"/>
        <v>3.52</v>
      </c>
      <c r="M20" s="35">
        <f>F20*I20/1000</f>
        <v>3.52</v>
      </c>
      <c r="N20" s="35">
        <f t="shared" si="13"/>
        <v>3.52</v>
      </c>
      <c r="O20" s="35">
        <f t="shared" si="14"/>
        <v>3.84</v>
      </c>
      <c r="P20" s="285"/>
      <c r="Q20" s="285">
        <f t="shared" si="15"/>
        <v>199.27007299270073</v>
      </c>
      <c r="R20" s="285">
        <f t="shared" si="9"/>
        <v>100.73260073260073</v>
      </c>
      <c r="S20" s="285">
        <f t="shared" si="9"/>
        <v>100</v>
      </c>
      <c r="T20" s="285">
        <f t="shared" si="9"/>
        <v>100</v>
      </c>
      <c r="U20" s="285">
        <f t="shared" si="9"/>
        <v>109.09090909090908</v>
      </c>
    </row>
    <row r="21" spans="1:22" ht="31.5" x14ac:dyDescent="0.25">
      <c r="A21" s="268" t="s">
        <v>269</v>
      </c>
      <c r="B21" s="269" t="s">
        <v>268</v>
      </c>
      <c r="C21" s="274">
        <v>4</v>
      </c>
      <c r="D21" s="270">
        <v>11.5</v>
      </c>
      <c r="E21" s="270">
        <v>11.5</v>
      </c>
      <c r="F21" s="270">
        <v>12</v>
      </c>
      <c r="G21" s="270">
        <v>13</v>
      </c>
      <c r="H21" s="270">
        <v>14</v>
      </c>
      <c r="I21" s="23">
        <v>3.2</v>
      </c>
      <c r="J21" s="298">
        <f>C21*I21/1000</f>
        <v>1.2800000000000001E-2</v>
      </c>
      <c r="K21" s="298">
        <f>D21*I21/1000</f>
        <v>3.6800000000000006E-2</v>
      </c>
      <c r="L21" s="298">
        <f t="shared" ref="L21" si="17">E21*I21/1000</f>
        <v>3.6800000000000006E-2</v>
      </c>
      <c r="M21" s="298">
        <f>F21*I21/1000</f>
        <v>3.8400000000000004E-2</v>
      </c>
      <c r="N21" s="298">
        <f t="shared" ref="N21" si="18">G21*I21/1000</f>
        <v>4.1599999999999998E-2</v>
      </c>
      <c r="O21" s="298">
        <f t="shared" ref="O21" si="19">H21*I21/1000</f>
        <v>4.4800000000000006E-2</v>
      </c>
      <c r="P21" s="285">
        <v>200</v>
      </c>
      <c r="Q21" s="285">
        <f t="shared" si="15"/>
        <v>287.50000000000006</v>
      </c>
      <c r="R21" s="285">
        <f t="shared" si="9"/>
        <v>100</v>
      </c>
      <c r="S21" s="285">
        <f t="shared" si="9"/>
        <v>104.34782608695652</v>
      </c>
      <c r="T21" s="285">
        <f t="shared" si="9"/>
        <v>108.33333333333333</v>
      </c>
      <c r="U21" s="285">
        <f t="shared" si="9"/>
        <v>107.69230769230771</v>
      </c>
    </row>
    <row r="22" spans="1:22" ht="15.75" x14ac:dyDescent="0.2">
      <c r="A22" s="26"/>
      <c r="B22" s="28" t="s">
        <v>53</v>
      </c>
      <c r="C22" s="34" t="s">
        <v>53</v>
      </c>
      <c r="D22" s="34" t="s">
        <v>53</v>
      </c>
      <c r="E22" s="34" t="s">
        <v>53</v>
      </c>
      <c r="F22" s="34" t="s">
        <v>53</v>
      </c>
      <c r="G22" s="34" t="s">
        <v>53</v>
      </c>
      <c r="H22" s="34"/>
      <c r="I22" s="28" t="s">
        <v>53</v>
      </c>
      <c r="J22" s="35">
        <f>SUM(J18:J21)</f>
        <v>542.06689200000005</v>
      </c>
      <c r="K22" s="35">
        <f t="shared" ref="K22:O22" si="20">SUM(K18:K21)</f>
        <v>541.88494700000001</v>
      </c>
      <c r="L22" s="35">
        <f t="shared" si="20"/>
        <v>541.6437719999999</v>
      </c>
      <c r="M22" s="35">
        <f t="shared" si="20"/>
        <v>549.78534999999999</v>
      </c>
      <c r="N22" s="35">
        <f t="shared" si="20"/>
        <v>549.78854999999999</v>
      </c>
      <c r="O22" s="35">
        <f t="shared" si="20"/>
        <v>550.11175000000003</v>
      </c>
      <c r="P22" s="285">
        <v>92.6</v>
      </c>
      <c r="Q22" s="285">
        <f t="shared" si="15"/>
        <v>99.966434954304489</v>
      </c>
      <c r="R22" s="285">
        <f t="shared" si="9"/>
        <v>99.955493319876226</v>
      </c>
      <c r="S22" s="285">
        <f t="shared" si="9"/>
        <v>101.50312408650757</v>
      </c>
      <c r="T22" s="285">
        <f t="shared" si="9"/>
        <v>100.00058204533823</v>
      </c>
      <c r="U22" s="285">
        <f t="shared" si="9"/>
        <v>100.05878623699967</v>
      </c>
    </row>
    <row r="23" spans="1:22" ht="15.75" x14ac:dyDescent="0.2">
      <c r="A23" s="401" t="s">
        <v>181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3"/>
    </row>
    <row r="24" spans="1:22" ht="46.5" customHeight="1" x14ac:dyDescent="0.2">
      <c r="A24" s="58" t="s">
        <v>183</v>
      </c>
      <c r="B24" s="24" t="s">
        <v>52</v>
      </c>
      <c r="C24" s="35">
        <v>7</v>
      </c>
      <c r="D24" s="35">
        <v>7</v>
      </c>
      <c r="E24" s="35">
        <v>7</v>
      </c>
      <c r="F24" s="35">
        <v>7</v>
      </c>
      <c r="G24" s="35">
        <v>7</v>
      </c>
      <c r="H24" s="35">
        <v>7</v>
      </c>
      <c r="I24" s="23">
        <v>282.60000000000002</v>
      </c>
      <c r="J24" s="35">
        <f>C24*I24/1000</f>
        <v>1.9782000000000002</v>
      </c>
      <c r="K24" s="35">
        <f>D24*I24/1000</f>
        <v>1.9782000000000002</v>
      </c>
      <c r="L24" s="35">
        <f>E24*I24/1000</f>
        <v>1.9782000000000002</v>
      </c>
      <c r="M24" s="35">
        <f>F24*I24/1000</f>
        <v>1.9782000000000002</v>
      </c>
      <c r="N24" s="35">
        <f>G24*I24/1000</f>
        <v>1.9782000000000002</v>
      </c>
      <c r="O24" s="35">
        <f>H24*I24/1000</f>
        <v>1.9782000000000002</v>
      </c>
      <c r="P24" s="290">
        <v>96.9</v>
      </c>
      <c r="Q24" s="285">
        <f>K24/J24*100</f>
        <v>100</v>
      </c>
      <c r="R24" s="285">
        <f t="shared" ref="R24:U27" si="21">L24/K24*100</f>
        <v>100</v>
      </c>
      <c r="S24" s="285">
        <f t="shared" si="21"/>
        <v>100</v>
      </c>
      <c r="T24" s="285">
        <f t="shared" si="21"/>
        <v>100</v>
      </c>
      <c r="U24" s="285">
        <f t="shared" si="21"/>
        <v>100</v>
      </c>
    </row>
    <row r="25" spans="1:22" ht="39" customHeight="1" x14ac:dyDescent="0.2">
      <c r="A25" s="58" t="s">
        <v>184</v>
      </c>
      <c r="B25" s="24" t="s">
        <v>185</v>
      </c>
      <c r="C25" s="35">
        <v>165.1</v>
      </c>
      <c r="D25" s="35">
        <v>165</v>
      </c>
      <c r="E25" s="35">
        <v>164.9</v>
      </c>
      <c r="F25" s="35">
        <v>164.8</v>
      </c>
      <c r="G25" s="35">
        <v>164.7</v>
      </c>
      <c r="H25" s="35">
        <v>164.5</v>
      </c>
      <c r="I25" s="23">
        <v>501.51</v>
      </c>
      <c r="J25" s="35">
        <f>C25*I25/1000</f>
        <v>82.799300999999986</v>
      </c>
      <c r="K25" s="35">
        <f>D25*I25/1000</f>
        <v>82.74915</v>
      </c>
      <c r="L25" s="35">
        <f>E25*I25/1000</f>
        <v>82.698999000000001</v>
      </c>
      <c r="M25" s="35">
        <f>F25*I25/1000</f>
        <v>82.648848000000001</v>
      </c>
      <c r="N25" s="35">
        <f>G25*I25/1000</f>
        <v>82.598696999999987</v>
      </c>
      <c r="O25" s="35">
        <f>H25*I25/1000</f>
        <v>82.498395000000002</v>
      </c>
      <c r="P25" s="285">
        <v>100</v>
      </c>
      <c r="Q25" s="285">
        <f t="shared" ref="Q25:Q27" si="22">K25/J25*100</f>
        <v>99.939430648092085</v>
      </c>
      <c r="R25" s="285">
        <f t="shared" si="21"/>
        <v>99.939393939393938</v>
      </c>
      <c r="S25" s="285">
        <f t="shared" si="21"/>
        <v>99.939357186173439</v>
      </c>
      <c r="T25" s="285">
        <f t="shared" si="21"/>
        <v>99.9393203883495</v>
      </c>
      <c r="U25" s="285">
        <f t="shared" si="21"/>
        <v>99.878567091681873</v>
      </c>
    </row>
    <row r="26" spans="1:22" ht="15.75" x14ac:dyDescent="0.2">
      <c r="A26" s="55" t="s">
        <v>36</v>
      </c>
      <c r="B26" s="39"/>
      <c r="C26" s="40">
        <f>SUM(C24:C25)</f>
        <v>172.1</v>
      </c>
      <c r="D26" s="40">
        <f t="shared" ref="D26:H26" si="23">SUM(D24:D25)</f>
        <v>172</v>
      </c>
      <c r="E26" s="40">
        <f t="shared" si="23"/>
        <v>171.9</v>
      </c>
      <c r="F26" s="40">
        <f t="shared" si="23"/>
        <v>171.8</v>
      </c>
      <c r="G26" s="40">
        <f t="shared" si="23"/>
        <v>171.7</v>
      </c>
      <c r="H26" s="40">
        <f t="shared" si="23"/>
        <v>171.5</v>
      </c>
      <c r="I26" s="29"/>
      <c r="J26" s="40">
        <f>SUM(J24:J25)</f>
        <v>84.777500999999987</v>
      </c>
      <c r="K26" s="40">
        <f t="shared" ref="K26:O26" si="24">SUM(K24:K25)</f>
        <v>84.727350000000001</v>
      </c>
      <c r="L26" s="40">
        <f t="shared" si="24"/>
        <v>84.677199000000002</v>
      </c>
      <c r="M26" s="40">
        <f t="shared" si="24"/>
        <v>84.627048000000002</v>
      </c>
      <c r="N26" s="40">
        <f t="shared" si="24"/>
        <v>84.576896999999988</v>
      </c>
      <c r="O26" s="40">
        <f t="shared" si="24"/>
        <v>84.476595000000003</v>
      </c>
      <c r="P26" s="291">
        <v>100</v>
      </c>
      <c r="Q26" s="285">
        <f t="shared" si="22"/>
        <v>99.940843974629558</v>
      </c>
      <c r="R26" s="285">
        <f t="shared" si="21"/>
        <v>99.940808959562645</v>
      </c>
      <c r="S26" s="285">
        <f t="shared" si="21"/>
        <v>99.940773903019632</v>
      </c>
      <c r="T26" s="285">
        <f t="shared" si="21"/>
        <v>99.940738804926752</v>
      </c>
      <c r="U26" s="285">
        <f t="shared" si="21"/>
        <v>99.881407330420288</v>
      </c>
    </row>
    <row r="27" spans="1:22" ht="35.25" customHeight="1" x14ac:dyDescent="0.2">
      <c r="A27" s="26" t="s">
        <v>187</v>
      </c>
      <c r="B27" s="41" t="s">
        <v>53</v>
      </c>
      <c r="C27" s="42" t="s">
        <v>53</v>
      </c>
      <c r="D27" s="42" t="s">
        <v>53</v>
      </c>
      <c r="E27" s="42" t="s">
        <v>53</v>
      </c>
      <c r="F27" s="42"/>
      <c r="G27" s="42" t="s">
        <v>53</v>
      </c>
      <c r="H27" s="42"/>
      <c r="I27" s="41" t="s">
        <v>53</v>
      </c>
      <c r="J27" s="292">
        <f>J16+J22+J26</f>
        <v>849.05067700000006</v>
      </c>
      <c r="K27" s="292">
        <f t="shared" ref="K27:O27" si="25">K16+K22+K26</f>
        <v>626.61229700000001</v>
      </c>
      <c r="L27" s="292">
        <f t="shared" si="25"/>
        <v>626.32097099999987</v>
      </c>
      <c r="M27" s="292">
        <f t="shared" si="25"/>
        <v>634.41239799999994</v>
      </c>
      <c r="N27" s="292">
        <f t="shared" si="25"/>
        <v>634.36544700000002</v>
      </c>
      <c r="O27" s="292">
        <f t="shared" si="25"/>
        <v>634.588345</v>
      </c>
      <c r="P27" s="293">
        <v>93.8</v>
      </c>
      <c r="Q27" s="285">
        <f t="shared" si="22"/>
        <v>73.801519034652387</v>
      </c>
      <c r="R27" s="285">
        <f t="shared" si="21"/>
        <v>99.953507774840205</v>
      </c>
      <c r="S27" s="285">
        <f t="shared" si="21"/>
        <v>101.29189782470178</v>
      </c>
      <c r="T27" s="285">
        <f t="shared" si="21"/>
        <v>99.992599293433116</v>
      </c>
      <c r="U27" s="285">
        <f t="shared" si="21"/>
        <v>100.0351371596694</v>
      </c>
      <c r="V27" s="294"/>
    </row>
    <row r="28" spans="1:22" ht="15.75" x14ac:dyDescent="0.2">
      <c r="A28" s="404" t="s">
        <v>141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6"/>
    </row>
    <row r="29" spans="1:22" ht="31.5" x14ac:dyDescent="0.2">
      <c r="A29" s="275" t="s">
        <v>200</v>
      </c>
      <c r="B29" s="30" t="s">
        <v>186</v>
      </c>
      <c r="C29" s="36">
        <v>4083.3</v>
      </c>
      <c r="D29" s="36">
        <v>4181</v>
      </c>
      <c r="E29" s="36">
        <v>4100</v>
      </c>
      <c r="F29" s="36">
        <v>4000</v>
      </c>
      <c r="G29" s="36">
        <v>4000</v>
      </c>
      <c r="H29" s="36">
        <v>4000</v>
      </c>
      <c r="I29" s="25">
        <v>509.11</v>
      </c>
      <c r="J29" s="36">
        <f>C29*I29/1000</f>
        <v>2078.8488630000002</v>
      </c>
      <c r="K29" s="36">
        <f>D29*I29/1000</f>
        <v>2128.5889099999999</v>
      </c>
      <c r="L29" s="36">
        <f>E29*I29/1000</f>
        <v>2087.3510000000001</v>
      </c>
      <c r="M29" s="36">
        <f>F29*I29/1000</f>
        <v>2036.44</v>
      </c>
      <c r="N29" s="36">
        <f>G29*I29/1000</f>
        <v>2036.44</v>
      </c>
      <c r="O29" s="36">
        <f>H29*I29/1000</f>
        <v>2036.44</v>
      </c>
      <c r="P29" s="287">
        <v>100.5</v>
      </c>
      <c r="Q29" s="287">
        <f>K29/J29*100</f>
        <v>102.39267259324565</v>
      </c>
      <c r="R29" s="287">
        <f t="shared" ref="R29:U30" si="26">L29/K29*100</f>
        <v>98.062664434345862</v>
      </c>
      <c r="S29" s="287">
        <f t="shared" si="26"/>
        <v>97.560975609756099</v>
      </c>
      <c r="T29" s="287">
        <f t="shared" si="26"/>
        <v>100</v>
      </c>
      <c r="U29" s="287">
        <f t="shared" si="26"/>
        <v>100</v>
      </c>
    </row>
    <row r="30" spans="1:22" ht="15.75" x14ac:dyDescent="0.2">
      <c r="A30" s="31" t="s">
        <v>36</v>
      </c>
      <c r="B30" s="28" t="s">
        <v>53</v>
      </c>
      <c r="C30" s="34" t="s">
        <v>53</v>
      </c>
      <c r="D30" s="34" t="s">
        <v>53</v>
      </c>
      <c r="E30" s="34" t="s">
        <v>53</v>
      </c>
      <c r="F30" s="34"/>
      <c r="G30" s="34" t="s">
        <v>53</v>
      </c>
      <c r="H30" s="34"/>
      <c r="I30" s="28" t="s">
        <v>53</v>
      </c>
      <c r="J30" s="37">
        <f>J29</f>
        <v>2078.8488630000002</v>
      </c>
      <c r="K30" s="37">
        <f t="shared" ref="K30:O30" si="27">K29</f>
        <v>2128.5889099999999</v>
      </c>
      <c r="L30" s="37">
        <f t="shared" si="27"/>
        <v>2087.3510000000001</v>
      </c>
      <c r="M30" s="37">
        <f t="shared" si="27"/>
        <v>2036.44</v>
      </c>
      <c r="N30" s="37">
        <f t="shared" si="27"/>
        <v>2036.44</v>
      </c>
      <c r="O30" s="37">
        <f t="shared" si="27"/>
        <v>2036.44</v>
      </c>
      <c r="P30" s="45">
        <v>100.5</v>
      </c>
      <c r="Q30" s="287">
        <f>K30/J30*100</f>
        <v>102.39267259324565</v>
      </c>
      <c r="R30" s="287">
        <f t="shared" si="26"/>
        <v>98.062664434345862</v>
      </c>
      <c r="S30" s="287">
        <f t="shared" si="26"/>
        <v>97.560975609756099</v>
      </c>
      <c r="T30" s="287">
        <f t="shared" si="26"/>
        <v>100</v>
      </c>
      <c r="U30" s="287">
        <f t="shared" si="26"/>
        <v>100</v>
      </c>
    </row>
    <row r="31" spans="1:22" ht="15.75" x14ac:dyDescent="0.2">
      <c r="A31" s="407" t="s">
        <v>188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9"/>
    </row>
    <row r="32" spans="1:22" ht="15.75" x14ac:dyDescent="0.2">
      <c r="A32" s="276" t="s">
        <v>38</v>
      </c>
      <c r="B32" s="43" t="s">
        <v>35</v>
      </c>
      <c r="C32" s="38">
        <v>16436</v>
      </c>
      <c r="D32" s="38">
        <v>19800</v>
      </c>
      <c r="E32" s="38">
        <v>19800</v>
      </c>
      <c r="F32" s="38">
        <v>19800</v>
      </c>
      <c r="G32" s="38">
        <v>19850</v>
      </c>
      <c r="H32" s="38">
        <v>19850</v>
      </c>
      <c r="I32" s="32">
        <v>109.5</v>
      </c>
      <c r="J32" s="38">
        <f>C32*I32/1000</f>
        <v>1799.742</v>
      </c>
      <c r="K32" s="38">
        <f>D32*I32/1000</f>
        <v>2168.1</v>
      </c>
      <c r="L32" s="38">
        <f>E32*I32/1000</f>
        <v>2168.1</v>
      </c>
      <c r="M32" s="38">
        <f>F32*I32/1000</f>
        <v>2168.1</v>
      </c>
      <c r="N32" s="38">
        <f>G32*I32/1000</f>
        <v>2173.5749999999998</v>
      </c>
      <c r="O32" s="38">
        <f>H32*I32/1000</f>
        <v>2173.5749999999998</v>
      </c>
      <c r="P32" s="44">
        <v>103.5</v>
      </c>
      <c r="Q32" s="44">
        <f>K32/J32*100</f>
        <v>120.46726697493307</v>
      </c>
      <c r="R32" s="44">
        <f t="shared" ref="R32:U38" si="28">L32/K32*100</f>
        <v>100</v>
      </c>
      <c r="S32" s="44">
        <f t="shared" si="28"/>
        <v>100</v>
      </c>
      <c r="T32" s="44">
        <f t="shared" si="28"/>
        <v>100.25252525252523</v>
      </c>
      <c r="U32" s="44">
        <f t="shared" si="28"/>
        <v>100</v>
      </c>
    </row>
    <row r="33" spans="1:21" ht="15.75" x14ac:dyDescent="0.2">
      <c r="A33" s="174" t="s">
        <v>39</v>
      </c>
      <c r="B33" s="24" t="s">
        <v>35</v>
      </c>
      <c r="C33" s="35">
        <v>74.900000000000006</v>
      </c>
      <c r="D33" s="35">
        <v>5.5</v>
      </c>
      <c r="E33" s="35">
        <v>5.5</v>
      </c>
      <c r="F33" s="35">
        <v>5.5</v>
      </c>
      <c r="G33" s="35">
        <v>5.5</v>
      </c>
      <c r="H33" s="35">
        <v>5.4</v>
      </c>
      <c r="I33" s="23">
        <v>315.2</v>
      </c>
      <c r="J33" s="38">
        <f t="shared" ref="J33:J37" si="29">C33*I33/1000</f>
        <v>23.60848</v>
      </c>
      <c r="K33" s="38">
        <f>D33*I33/1000</f>
        <v>1.7335999999999998</v>
      </c>
      <c r="L33" s="38">
        <f t="shared" ref="L33:L37" si="30">E33*I33/1000</f>
        <v>1.7335999999999998</v>
      </c>
      <c r="M33" s="38">
        <f t="shared" ref="M33:M37" si="31">F33*I33/1000</f>
        <v>1.7335999999999998</v>
      </c>
      <c r="N33" s="38">
        <f t="shared" ref="N33:N37" si="32">G33*I33/1000</f>
        <v>1.7335999999999998</v>
      </c>
      <c r="O33" s="38">
        <f t="shared" ref="O33:O37" si="33">H33*I33/1000</f>
        <v>1.7020800000000003</v>
      </c>
      <c r="P33" s="44">
        <v>96.8</v>
      </c>
      <c r="Q33" s="44">
        <f t="shared" ref="Q33:Q38" si="34">K33/J33*100</f>
        <v>7.3431241655540713</v>
      </c>
      <c r="R33" s="44">
        <f t="shared" si="28"/>
        <v>100</v>
      </c>
      <c r="S33" s="44">
        <f t="shared" si="28"/>
        <v>100</v>
      </c>
      <c r="T33" s="44">
        <f t="shared" si="28"/>
        <v>100</v>
      </c>
      <c r="U33" s="44">
        <f t="shared" si="28"/>
        <v>98.181818181818201</v>
      </c>
    </row>
    <row r="34" spans="1:21" ht="15.75" x14ac:dyDescent="0.2">
      <c r="A34" s="277" t="s">
        <v>40</v>
      </c>
      <c r="B34" s="24" t="s">
        <v>35</v>
      </c>
      <c r="C34" s="35">
        <v>13.3</v>
      </c>
      <c r="D34" s="35">
        <v>10.9</v>
      </c>
      <c r="E34" s="35">
        <v>10.9</v>
      </c>
      <c r="F34" s="35">
        <v>10.9</v>
      </c>
      <c r="G34" s="35">
        <v>10.9</v>
      </c>
      <c r="H34" s="35">
        <v>10.9</v>
      </c>
      <c r="I34" s="23">
        <v>444</v>
      </c>
      <c r="J34" s="38">
        <f t="shared" si="29"/>
        <v>5.9052000000000007</v>
      </c>
      <c r="K34" s="38">
        <f t="shared" ref="K34:K37" si="35">D34*I34/1000</f>
        <v>4.8396000000000008</v>
      </c>
      <c r="L34" s="38">
        <f t="shared" si="30"/>
        <v>4.8396000000000008</v>
      </c>
      <c r="M34" s="38">
        <f t="shared" si="31"/>
        <v>4.8396000000000008</v>
      </c>
      <c r="N34" s="38">
        <f t="shared" si="32"/>
        <v>4.8396000000000008</v>
      </c>
      <c r="O34" s="38">
        <f t="shared" si="33"/>
        <v>4.8396000000000008</v>
      </c>
      <c r="P34" s="44">
        <v>443.3</v>
      </c>
      <c r="Q34" s="44">
        <f t="shared" si="34"/>
        <v>81.954887218045116</v>
      </c>
      <c r="R34" s="44">
        <f t="shared" si="28"/>
        <v>100</v>
      </c>
      <c r="S34" s="44">
        <f t="shared" si="28"/>
        <v>100</v>
      </c>
      <c r="T34" s="44">
        <f t="shared" si="28"/>
        <v>100</v>
      </c>
      <c r="U34" s="44">
        <f t="shared" si="28"/>
        <v>100</v>
      </c>
    </row>
    <row r="35" spans="1:21" ht="15.75" x14ac:dyDescent="0.2">
      <c r="A35" s="277" t="s">
        <v>41</v>
      </c>
      <c r="B35" s="24" t="s">
        <v>35</v>
      </c>
      <c r="C35" s="35">
        <v>165</v>
      </c>
      <c r="D35" s="35">
        <v>165</v>
      </c>
      <c r="E35" s="35">
        <v>165</v>
      </c>
      <c r="F35" s="35">
        <v>165</v>
      </c>
      <c r="G35" s="35">
        <v>165</v>
      </c>
      <c r="H35" s="35">
        <v>165</v>
      </c>
      <c r="I35" s="23">
        <v>1500</v>
      </c>
      <c r="J35" s="38">
        <f t="shared" si="29"/>
        <v>247.5</v>
      </c>
      <c r="K35" s="38">
        <f t="shared" si="35"/>
        <v>247.5</v>
      </c>
      <c r="L35" s="38">
        <f t="shared" si="30"/>
        <v>247.5</v>
      </c>
      <c r="M35" s="38">
        <f t="shared" si="31"/>
        <v>247.5</v>
      </c>
      <c r="N35" s="38">
        <f t="shared" si="32"/>
        <v>247.5</v>
      </c>
      <c r="O35" s="38">
        <f t="shared" si="33"/>
        <v>247.5</v>
      </c>
      <c r="P35" s="44">
        <v>96.5</v>
      </c>
      <c r="Q35" s="44">
        <f t="shared" si="34"/>
        <v>100</v>
      </c>
      <c r="R35" s="44">
        <f t="shared" si="28"/>
        <v>100</v>
      </c>
      <c r="S35" s="44">
        <f t="shared" si="28"/>
        <v>100</v>
      </c>
      <c r="T35" s="44">
        <f t="shared" si="28"/>
        <v>100</v>
      </c>
      <c r="U35" s="44">
        <f t="shared" si="28"/>
        <v>100</v>
      </c>
    </row>
    <row r="36" spans="1:21" ht="15.75" x14ac:dyDescent="0.2">
      <c r="A36" s="277" t="s">
        <v>42</v>
      </c>
      <c r="B36" s="24" t="s">
        <v>35</v>
      </c>
      <c r="C36" s="35">
        <v>2179</v>
      </c>
      <c r="D36" s="35">
        <v>2091</v>
      </c>
      <c r="E36" s="35">
        <v>2100</v>
      </c>
      <c r="F36" s="35">
        <v>2110</v>
      </c>
      <c r="G36" s="35">
        <v>2110</v>
      </c>
      <c r="H36" s="35">
        <v>2115</v>
      </c>
      <c r="I36" s="23">
        <v>296.3</v>
      </c>
      <c r="J36" s="38">
        <f t="shared" si="29"/>
        <v>645.63770000000011</v>
      </c>
      <c r="K36" s="38">
        <f t="shared" si="35"/>
        <v>619.56330000000003</v>
      </c>
      <c r="L36" s="38">
        <f t="shared" si="30"/>
        <v>622.23</v>
      </c>
      <c r="M36" s="38">
        <f t="shared" si="31"/>
        <v>625.19299999999998</v>
      </c>
      <c r="N36" s="38">
        <f t="shared" si="32"/>
        <v>625.19299999999998</v>
      </c>
      <c r="O36" s="38">
        <f t="shared" si="33"/>
        <v>626.67449999999997</v>
      </c>
      <c r="P36" s="44">
        <v>107.3</v>
      </c>
      <c r="Q36" s="44">
        <f t="shared" si="34"/>
        <v>95.961450206516744</v>
      </c>
      <c r="R36" s="44">
        <f t="shared" si="28"/>
        <v>100.43041606886658</v>
      </c>
      <c r="S36" s="44">
        <f t="shared" si="28"/>
        <v>100.47619047619048</v>
      </c>
      <c r="T36" s="44">
        <f t="shared" si="28"/>
        <v>100</v>
      </c>
      <c r="U36" s="44">
        <f t="shared" si="28"/>
        <v>100.23696682464455</v>
      </c>
    </row>
    <row r="37" spans="1:21" ht="15.75" x14ac:dyDescent="0.2">
      <c r="A37" s="275" t="s">
        <v>43</v>
      </c>
      <c r="B37" s="30" t="s">
        <v>37</v>
      </c>
      <c r="C37" s="36">
        <v>4244</v>
      </c>
      <c r="D37" s="36">
        <v>3876</v>
      </c>
      <c r="E37" s="36">
        <v>3876</v>
      </c>
      <c r="F37" s="36">
        <v>3876</v>
      </c>
      <c r="G37" s="36">
        <v>3876</v>
      </c>
      <c r="H37" s="36">
        <v>3876</v>
      </c>
      <c r="I37" s="25">
        <v>90.8</v>
      </c>
      <c r="J37" s="40">
        <f t="shared" si="29"/>
        <v>385.35520000000002</v>
      </c>
      <c r="K37" s="40">
        <f t="shared" si="35"/>
        <v>351.94079999999997</v>
      </c>
      <c r="L37" s="40">
        <f t="shared" si="30"/>
        <v>351.94079999999997</v>
      </c>
      <c r="M37" s="40">
        <f t="shared" si="31"/>
        <v>351.94079999999997</v>
      </c>
      <c r="N37" s="40">
        <f t="shared" si="32"/>
        <v>351.94079999999997</v>
      </c>
      <c r="O37" s="40">
        <f t="shared" si="33"/>
        <v>351.94079999999997</v>
      </c>
      <c r="P37" s="44">
        <v>89.7</v>
      </c>
      <c r="Q37" s="44">
        <f t="shared" si="34"/>
        <v>91.328934967012245</v>
      </c>
      <c r="R37" s="44">
        <f t="shared" si="28"/>
        <v>100</v>
      </c>
      <c r="S37" s="44">
        <f t="shared" si="28"/>
        <v>100</v>
      </c>
      <c r="T37" s="44">
        <f t="shared" si="28"/>
        <v>100</v>
      </c>
      <c r="U37" s="44">
        <f t="shared" si="28"/>
        <v>100</v>
      </c>
    </row>
    <row r="38" spans="1:21" ht="15.75" x14ac:dyDescent="0.2">
      <c r="A38" s="31" t="s">
        <v>36</v>
      </c>
      <c r="B38" s="28" t="s">
        <v>53</v>
      </c>
      <c r="C38" s="34"/>
      <c r="D38" s="34"/>
      <c r="E38" s="34"/>
      <c r="F38" s="34"/>
      <c r="G38" s="34" t="s">
        <v>53</v>
      </c>
      <c r="H38" s="34"/>
      <c r="I38" s="28" t="s">
        <v>53</v>
      </c>
      <c r="J38" s="37">
        <f>SUM(J32:J37)</f>
        <v>3107.7485800000004</v>
      </c>
      <c r="K38" s="37">
        <f t="shared" ref="K38:N38" si="36">SUM(K32:K37)</f>
        <v>3393.6772999999998</v>
      </c>
      <c r="L38" s="37">
        <f t="shared" si="36"/>
        <v>3396.3439999999996</v>
      </c>
      <c r="M38" s="37">
        <f t="shared" si="36"/>
        <v>3399.3069999999993</v>
      </c>
      <c r="N38" s="37">
        <f t="shared" si="36"/>
        <v>3404.7819999999997</v>
      </c>
      <c r="O38" s="37">
        <f>SUM(O32:O37)</f>
        <v>3406.2319799999996</v>
      </c>
      <c r="P38" s="44">
        <v>98.2</v>
      </c>
      <c r="Q38" s="44">
        <f t="shared" si="34"/>
        <v>109.20051003611107</v>
      </c>
      <c r="R38" s="44">
        <f t="shared" si="28"/>
        <v>100.07857847886714</v>
      </c>
      <c r="S38" s="44">
        <f t="shared" si="28"/>
        <v>100.08724086841613</v>
      </c>
      <c r="T38" s="44">
        <f t="shared" si="28"/>
        <v>100.16106224003893</v>
      </c>
      <c r="U38" s="44">
        <f t="shared" si="28"/>
        <v>100.04258657382469</v>
      </c>
    </row>
    <row r="39" spans="1:21" ht="19.5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12"/>
    </row>
    <row r="40" spans="1:21" ht="20.25" x14ac:dyDescent="0.3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M40" s="295"/>
      <c r="R40" s="1"/>
      <c r="S40" s="1"/>
      <c r="T40" s="1"/>
    </row>
    <row r="41" spans="1:21" ht="20.25" x14ac:dyDescent="0.3">
      <c r="A41" s="172" t="s">
        <v>237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296"/>
      <c r="N41" s="173"/>
      <c r="R41" s="1"/>
      <c r="S41" s="1"/>
      <c r="T41" s="1"/>
    </row>
    <row r="42" spans="1:21" ht="20.25" x14ac:dyDescent="0.3">
      <c r="A42" s="172" t="s">
        <v>238</v>
      </c>
      <c r="B42" s="173"/>
      <c r="C42" s="173"/>
      <c r="D42" s="173"/>
      <c r="E42" s="173"/>
      <c r="F42" s="173"/>
      <c r="G42" s="173"/>
      <c r="H42" s="173"/>
      <c r="I42" s="296"/>
      <c r="J42" s="296"/>
      <c r="K42" s="296"/>
      <c r="L42" s="296"/>
      <c r="M42" s="173"/>
      <c r="N42" s="173"/>
      <c r="O42" s="295"/>
      <c r="P42" s="295"/>
      <c r="Q42" s="295"/>
      <c r="R42" s="1"/>
      <c r="S42" s="1"/>
      <c r="T42" s="1"/>
    </row>
    <row r="43" spans="1:21" ht="9.75" customHeight="1" x14ac:dyDescent="0.3">
      <c r="A43" s="172" t="s">
        <v>261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296"/>
      <c r="N43" s="296"/>
      <c r="R43" s="1"/>
      <c r="S43" s="1"/>
      <c r="T43" s="1"/>
    </row>
    <row r="44" spans="1:21" ht="20.25" x14ac:dyDescent="0.3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R44" s="1"/>
      <c r="S44" s="1"/>
      <c r="T44" s="1"/>
    </row>
    <row r="45" spans="1:21" ht="20.25" x14ac:dyDescent="0.3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R45" s="1"/>
      <c r="S45" s="1"/>
      <c r="T45" s="1"/>
    </row>
    <row r="46" spans="1:21" ht="20.25" x14ac:dyDescent="0.3">
      <c r="A46" s="173" t="s">
        <v>266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"/>
      <c r="P46" s="1"/>
      <c r="Q46" s="1"/>
      <c r="R46" s="1"/>
      <c r="S46" s="1"/>
      <c r="T46" s="1"/>
    </row>
    <row r="47" spans="1:21" ht="15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</sheetData>
  <mergeCells count="14">
    <mergeCell ref="N1:U1"/>
    <mergeCell ref="N2:U2"/>
    <mergeCell ref="A3:S3"/>
    <mergeCell ref="A4:S4"/>
    <mergeCell ref="A6:A7"/>
    <mergeCell ref="B6:H6"/>
    <mergeCell ref="I6:I7"/>
    <mergeCell ref="J6:O6"/>
    <mergeCell ref="P6:U6"/>
    <mergeCell ref="A9:U9"/>
    <mergeCell ref="A10:U10"/>
    <mergeCell ref="A23:U23"/>
    <mergeCell ref="A28:U28"/>
    <mergeCell ref="A31:U31"/>
  </mergeCells>
  <pageMargins left="0" right="0" top="0" bottom="0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C79"/>
  <sheetViews>
    <sheetView zoomScale="66" zoomScaleNormal="66" workbookViewId="0">
      <selection activeCell="AF56" sqref="AF56"/>
    </sheetView>
  </sheetViews>
  <sheetFormatPr defaultRowHeight="12.75" x14ac:dyDescent="0.2"/>
  <cols>
    <col min="1" max="1" width="20.140625" customWidth="1"/>
    <col min="2" max="2" width="13.5703125" hidden="1" customWidth="1"/>
    <col min="3" max="3" width="12.85546875" hidden="1" customWidth="1"/>
    <col min="4" max="4" width="12.140625" hidden="1" customWidth="1"/>
    <col min="5" max="5" width="14.42578125" hidden="1" customWidth="1"/>
    <col min="6" max="6" width="12.42578125" hidden="1" customWidth="1"/>
    <col min="7" max="7" width="12.140625" hidden="1" customWidth="1"/>
    <col min="8" max="8" width="10.42578125" hidden="1" customWidth="1"/>
    <col min="9" max="9" width="10.7109375" hidden="1" customWidth="1"/>
    <col min="10" max="10" width="10.5703125" hidden="1" customWidth="1"/>
    <col min="11" max="11" width="12.85546875" hidden="1" customWidth="1"/>
    <col min="12" max="12" width="10.5703125" hidden="1" customWidth="1"/>
    <col min="13" max="13" width="10.42578125" hidden="1" customWidth="1"/>
    <col min="14" max="14" width="11.7109375" hidden="1" customWidth="1"/>
    <col min="15" max="15" width="12.7109375" hidden="1" customWidth="1"/>
    <col min="16" max="16" width="11.85546875" hidden="1" customWidth="1"/>
    <col min="17" max="17" width="11.5703125" hidden="1" customWidth="1"/>
    <col min="18" max="18" width="11.85546875" hidden="1" customWidth="1"/>
    <col min="19" max="19" width="11.5703125" hidden="1" customWidth="1"/>
    <col min="20" max="20" width="10.140625" hidden="1" customWidth="1"/>
    <col min="21" max="21" width="10.28515625" hidden="1" customWidth="1"/>
    <col min="22" max="22" width="14" hidden="1" customWidth="1"/>
    <col min="23" max="23" width="15.5703125" hidden="1" customWidth="1"/>
    <col min="24" max="24" width="13.85546875" customWidth="1"/>
    <col min="25" max="25" width="9.5703125" customWidth="1"/>
    <col min="26" max="26" width="10" customWidth="1"/>
    <col min="27" max="27" width="9.85546875" customWidth="1"/>
    <col min="28" max="28" width="11.5703125" customWidth="1"/>
    <col min="29" max="29" width="10" customWidth="1"/>
    <col min="30" max="30" width="10.71093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1.85546875" customWidth="1"/>
    <col min="39" max="39" width="11.5703125" customWidth="1"/>
    <col min="40" max="40" width="13.85546875" customWidth="1"/>
    <col min="41" max="41" width="13" customWidth="1"/>
    <col min="42" max="42" width="12" customWidth="1"/>
    <col min="43" max="43" width="13.28515625" customWidth="1"/>
    <col min="44" max="44" width="13.7109375" customWidth="1"/>
  </cols>
  <sheetData>
    <row r="1" spans="1:55" ht="21" customHeight="1" x14ac:dyDescent="0.3">
      <c r="A1" s="4"/>
      <c r="B1" s="4"/>
      <c r="C1" s="4"/>
      <c r="D1" s="4"/>
      <c r="E1" s="431"/>
      <c r="F1" s="431"/>
      <c r="G1" s="431"/>
      <c r="W1" s="207" t="s">
        <v>282</v>
      </c>
    </row>
    <row r="2" spans="1:55" ht="28.5" customHeight="1" x14ac:dyDescent="0.2">
      <c r="A2" s="432" t="s">
        <v>199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0"/>
      <c r="AM2" s="10"/>
      <c r="AN2" s="10"/>
      <c r="AO2" s="10"/>
      <c r="AP2" s="10"/>
      <c r="AQ2" s="10"/>
    </row>
    <row r="3" spans="1:55" ht="18.75" x14ac:dyDescent="0.3">
      <c r="A3" s="4"/>
      <c r="B3" s="4"/>
      <c r="C3" s="4"/>
      <c r="D3" s="4"/>
      <c r="E3" s="4"/>
      <c r="F3" s="4"/>
      <c r="G3" s="4"/>
      <c r="AK3" s="10"/>
      <c r="AL3" s="9"/>
      <c r="AM3" s="9"/>
      <c r="AN3" s="9"/>
      <c r="AO3" s="9"/>
      <c r="AP3" s="9"/>
      <c r="AQ3" s="9"/>
    </row>
    <row r="4" spans="1:55" ht="18.75" x14ac:dyDescent="0.3">
      <c r="A4" s="4"/>
      <c r="B4" s="4"/>
      <c r="C4" s="4"/>
      <c r="D4" s="4"/>
      <c r="E4" s="4"/>
      <c r="F4" s="4"/>
      <c r="G4" s="4"/>
      <c r="R4" s="433"/>
      <c r="S4" s="433"/>
      <c r="AK4" s="10"/>
      <c r="AL4" s="9"/>
      <c r="AM4" s="9"/>
      <c r="AN4" s="9"/>
      <c r="AO4" s="9"/>
      <c r="AP4" s="9"/>
    </row>
    <row r="5" spans="1:55" ht="18.75" x14ac:dyDescent="0.3">
      <c r="A5" s="4"/>
      <c r="B5" s="4"/>
      <c r="C5" s="4"/>
      <c r="D5" s="4"/>
      <c r="E5" s="4"/>
      <c r="F5" s="4"/>
      <c r="G5" s="4"/>
      <c r="S5" s="433"/>
      <c r="T5" s="433"/>
      <c r="AK5" s="10"/>
      <c r="AL5" s="9"/>
      <c r="AM5" s="9"/>
      <c r="AN5" s="9"/>
      <c r="AO5" s="9"/>
      <c r="AP5" s="9"/>
      <c r="AQ5" s="433"/>
      <c r="AR5" s="433"/>
    </row>
    <row r="6" spans="1:55" ht="58.15" customHeight="1" x14ac:dyDescent="0.2">
      <c r="A6" s="416" t="s">
        <v>98</v>
      </c>
      <c r="B6" s="425" t="s">
        <v>101</v>
      </c>
      <c r="C6" s="427"/>
      <c r="D6" s="427"/>
      <c r="E6" s="427"/>
      <c r="F6" s="427"/>
      <c r="G6" s="423"/>
      <c r="H6" s="425" t="s">
        <v>99</v>
      </c>
      <c r="I6" s="427"/>
      <c r="J6" s="427"/>
      <c r="K6" s="427"/>
      <c r="L6" s="427"/>
      <c r="M6" s="423"/>
      <c r="N6" s="425" t="s">
        <v>100</v>
      </c>
      <c r="O6" s="427"/>
      <c r="P6" s="427"/>
      <c r="Q6" s="427"/>
      <c r="R6" s="427"/>
      <c r="S6" s="423"/>
      <c r="T6" s="425" t="s">
        <v>114</v>
      </c>
      <c r="U6" s="423"/>
      <c r="V6" s="427" t="s">
        <v>260</v>
      </c>
      <c r="W6" s="427"/>
      <c r="X6" s="421" t="s">
        <v>123</v>
      </c>
      <c r="Y6" s="417" t="s">
        <v>124</v>
      </c>
      <c r="Z6" s="418"/>
      <c r="AA6" s="418"/>
      <c r="AB6" s="418"/>
      <c r="AC6" s="418"/>
      <c r="AD6" s="418"/>
      <c r="AE6" s="419"/>
      <c r="AF6" s="416" t="s">
        <v>115</v>
      </c>
      <c r="AG6" s="416"/>
      <c r="AH6" s="416"/>
      <c r="AI6" s="416"/>
      <c r="AJ6" s="416"/>
      <c r="AK6" s="416"/>
      <c r="AL6" s="416" t="s">
        <v>125</v>
      </c>
      <c r="AM6" s="417" t="s">
        <v>124</v>
      </c>
      <c r="AN6" s="418"/>
      <c r="AO6" s="418"/>
      <c r="AP6" s="418"/>
      <c r="AQ6" s="418"/>
      <c r="AR6" s="419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96.5" customHeight="1" x14ac:dyDescent="0.2">
      <c r="A7" s="416"/>
      <c r="B7" s="434"/>
      <c r="C7" s="428"/>
      <c r="D7" s="428"/>
      <c r="E7" s="428"/>
      <c r="F7" s="428"/>
      <c r="G7" s="430"/>
      <c r="H7" s="434"/>
      <c r="I7" s="428"/>
      <c r="J7" s="428"/>
      <c r="K7" s="428"/>
      <c r="L7" s="428"/>
      <c r="M7" s="430"/>
      <c r="N7" s="434"/>
      <c r="O7" s="428"/>
      <c r="P7" s="428"/>
      <c r="Q7" s="428"/>
      <c r="R7" s="428"/>
      <c r="S7" s="430"/>
      <c r="T7" s="434"/>
      <c r="U7" s="430"/>
      <c r="V7" s="428"/>
      <c r="W7" s="428"/>
      <c r="X7" s="422"/>
      <c r="Y7" s="416" t="s">
        <v>135</v>
      </c>
      <c r="Z7" s="416" t="s">
        <v>134</v>
      </c>
      <c r="AA7" s="416" t="s">
        <v>136</v>
      </c>
      <c r="AB7" s="416" t="s">
        <v>137</v>
      </c>
      <c r="AC7" s="416" t="s">
        <v>21</v>
      </c>
      <c r="AD7" s="416" t="s">
        <v>47</v>
      </c>
      <c r="AE7" s="416" t="s">
        <v>51</v>
      </c>
      <c r="AF7" s="417" t="s">
        <v>103</v>
      </c>
      <c r="AG7" s="419"/>
      <c r="AH7" s="417" t="s">
        <v>104</v>
      </c>
      <c r="AI7" s="419"/>
      <c r="AJ7" s="417" t="s">
        <v>105</v>
      </c>
      <c r="AK7" s="419"/>
      <c r="AL7" s="416"/>
      <c r="AM7" s="416" t="s">
        <v>127</v>
      </c>
      <c r="AN7" s="416" t="s">
        <v>128</v>
      </c>
      <c r="AO7" s="416" t="s">
        <v>129</v>
      </c>
      <c r="AP7" s="416" t="s">
        <v>130</v>
      </c>
      <c r="AQ7" s="416" t="s">
        <v>131</v>
      </c>
      <c r="AR7" s="416" t="s">
        <v>236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39.75" customHeight="1" x14ac:dyDescent="0.2">
      <c r="A8" s="417"/>
      <c r="B8" s="416" t="s">
        <v>253</v>
      </c>
      <c r="C8" s="416" t="s">
        <v>262</v>
      </c>
      <c r="D8" s="416" t="s">
        <v>270</v>
      </c>
      <c r="E8" s="416" t="s">
        <v>62</v>
      </c>
      <c r="F8" s="416"/>
      <c r="G8" s="416"/>
      <c r="H8" s="416" t="s">
        <v>253</v>
      </c>
      <c r="I8" s="416" t="s">
        <v>262</v>
      </c>
      <c r="J8" s="416" t="s">
        <v>270</v>
      </c>
      <c r="K8" s="416" t="s">
        <v>62</v>
      </c>
      <c r="L8" s="416"/>
      <c r="M8" s="416"/>
      <c r="N8" s="416" t="s">
        <v>253</v>
      </c>
      <c r="O8" s="416" t="s">
        <v>262</v>
      </c>
      <c r="P8" s="416" t="s">
        <v>270</v>
      </c>
      <c r="Q8" s="416" t="s">
        <v>62</v>
      </c>
      <c r="R8" s="416"/>
      <c r="S8" s="416"/>
      <c r="T8" s="421" t="s">
        <v>262</v>
      </c>
      <c r="U8" s="421" t="s">
        <v>270</v>
      </c>
      <c r="V8" s="423" t="s">
        <v>132</v>
      </c>
      <c r="W8" s="425" t="s">
        <v>133</v>
      </c>
      <c r="X8" s="422"/>
      <c r="Y8" s="416"/>
      <c r="Z8" s="416"/>
      <c r="AA8" s="416"/>
      <c r="AB8" s="416"/>
      <c r="AC8" s="416"/>
      <c r="AD8" s="416"/>
      <c r="AE8" s="416"/>
      <c r="AF8" s="421" t="s">
        <v>262</v>
      </c>
      <c r="AG8" s="421" t="s">
        <v>270</v>
      </c>
      <c r="AH8" s="423" t="s">
        <v>262</v>
      </c>
      <c r="AI8" s="421" t="s">
        <v>270</v>
      </c>
      <c r="AJ8" s="423" t="s">
        <v>262</v>
      </c>
      <c r="AK8" s="421" t="s">
        <v>270</v>
      </c>
      <c r="AL8" s="416"/>
      <c r="AM8" s="416"/>
      <c r="AN8" s="416"/>
      <c r="AO8" s="416"/>
      <c r="AP8" s="416"/>
      <c r="AQ8" s="416"/>
      <c r="AR8" s="416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81.75" customHeight="1" x14ac:dyDescent="0.2">
      <c r="A9" s="417"/>
      <c r="B9" s="421"/>
      <c r="C9" s="421"/>
      <c r="D9" s="421"/>
      <c r="E9" s="211" t="s">
        <v>242</v>
      </c>
      <c r="F9" s="211" t="s">
        <v>254</v>
      </c>
      <c r="G9" s="211" t="s">
        <v>265</v>
      </c>
      <c r="H9" s="421"/>
      <c r="I9" s="421"/>
      <c r="J9" s="421"/>
      <c r="K9" s="211" t="s">
        <v>242</v>
      </c>
      <c r="L9" s="211" t="s">
        <v>254</v>
      </c>
      <c r="M9" s="211" t="s">
        <v>265</v>
      </c>
      <c r="N9" s="421"/>
      <c r="O9" s="421"/>
      <c r="P9" s="421"/>
      <c r="Q9" s="211" t="s">
        <v>242</v>
      </c>
      <c r="R9" s="211" t="s">
        <v>254</v>
      </c>
      <c r="S9" s="211" t="s">
        <v>265</v>
      </c>
      <c r="T9" s="422"/>
      <c r="U9" s="422"/>
      <c r="V9" s="424"/>
      <c r="W9" s="426"/>
      <c r="X9" s="429"/>
      <c r="Y9" s="416"/>
      <c r="Z9" s="416"/>
      <c r="AA9" s="416"/>
      <c r="AB9" s="416"/>
      <c r="AC9" s="416"/>
      <c r="AD9" s="416"/>
      <c r="AE9" s="416"/>
      <c r="AF9" s="429"/>
      <c r="AG9" s="429"/>
      <c r="AH9" s="430"/>
      <c r="AI9" s="429"/>
      <c r="AJ9" s="430"/>
      <c r="AK9" s="429"/>
      <c r="AL9" s="416"/>
      <c r="AM9" s="416"/>
      <c r="AN9" s="416"/>
      <c r="AO9" s="416"/>
      <c r="AP9" s="416"/>
      <c r="AQ9" s="416"/>
      <c r="AR9" s="416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20.45" customHeight="1" x14ac:dyDescent="0.2">
      <c r="A10" s="194" t="s">
        <v>210</v>
      </c>
      <c r="B10" s="14">
        <f>10012+0.25</f>
        <v>10012.25</v>
      </c>
      <c r="C10" s="14">
        <f>11950.29804+0.02</f>
        <v>11950.31804</v>
      </c>
      <c r="D10" s="14">
        <v>13123.69641</v>
      </c>
      <c r="E10" s="14">
        <v>13871.98756</v>
      </c>
      <c r="F10" s="14">
        <v>14392.413860000001</v>
      </c>
      <c r="G10" s="16">
        <v>14877.93455</v>
      </c>
      <c r="H10" s="62">
        <v>4629.36985</v>
      </c>
      <c r="I10" s="62">
        <f>4910.1</f>
        <v>4910.1000000000004</v>
      </c>
      <c r="J10" s="62">
        <f>4992+0.21</f>
        <v>4992.21</v>
      </c>
      <c r="K10" s="62">
        <v>5280.61</v>
      </c>
      <c r="L10" s="62">
        <v>5492.3</v>
      </c>
      <c r="M10" s="66">
        <f>5711.9+0.4</f>
        <v>5712.2999999999993</v>
      </c>
      <c r="N10" s="62">
        <v>6898.81</v>
      </c>
      <c r="O10" s="62">
        <v>7040.09</v>
      </c>
      <c r="P10" s="61">
        <v>6866.1</v>
      </c>
      <c r="Q10" s="61">
        <v>6869.2</v>
      </c>
      <c r="R10" s="61">
        <v>6868.9</v>
      </c>
      <c r="S10" s="196">
        <v>6869.2</v>
      </c>
      <c r="T10" s="176">
        <v>362</v>
      </c>
      <c r="U10" s="179">
        <v>340</v>
      </c>
      <c r="V10" s="182">
        <v>0</v>
      </c>
      <c r="W10" s="178">
        <v>0</v>
      </c>
      <c r="X10" s="197">
        <f t="shared" ref="X10:X35" si="0">SUM(Y10:AE10)</f>
        <v>201</v>
      </c>
      <c r="Y10" s="198">
        <v>14</v>
      </c>
      <c r="Z10" s="189">
        <v>0</v>
      </c>
      <c r="AA10" s="189">
        <v>27</v>
      </c>
      <c r="AB10" s="190">
        <v>10</v>
      </c>
      <c r="AC10" s="190">
        <v>18</v>
      </c>
      <c r="AD10" s="190">
        <v>42</v>
      </c>
      <c r="AE10" s="191">
        <v>90</v>
      </c>
      <c r="AF10" s="199">
        <v>297</v>
      </c>
      <c r="AG10" s="192">
        <v>304</v>
      </c>
      <c r="AH10" s="192">
        <v>11</v>
      </c>
      <c r="AI10" s="192">
        <v>11</v>
      </c>
      <c r="AJ10" s="192">
        <v>110</v>
      </c>
      <c r="AK10" s="200">
        <v>108</v>
      </c>
      <c r="AL10" s="183">
        <f>AM10+AN10+AO10+AP10+AQ10+AR10</f>
        <v>23</v>
      </c>
      <c r="AM10" s="183">
        <v>6</v>
      </c>
      <c r="AN10" s="183">
        <v>5</v>
      </c>
      <c r="AO10" s="183">
        <v>2</v>
      </c>
      <c r="AP10" s="183">
        <v>1</v>
      </c>
      <c r="AQ10" s="184">
        <v>4</v>
      </c>
      <c r="AR10" s="183">
        <v>5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5.75" x14ac:dyDescent="0.2">
      <c r="A11" s="194" t="s">
        <v>218</v>
      </c>
      <c r="B11" s="15">
        <v>62.5</v>
      </c>
      <c r="C11" s="15">
        <v>63.54</v>
      </c>
      <c r="D11" s="15">
        <v>72.754980000000003</v>
      </c>
      <c r="E11" s="15">
        <v>76.974000000000004</v>
      </c>
      <c r="F11" s="15">
        <v>79.899799999999999</v>
      </c>
      <c r="G11" s="17">
        <v>82.616399999999999</v>
      </c>
      <c r="H11" s="62">
        <v>80.004059999999996</v>
      </c>
      <c r="I11" s="62">
        <v>77.7</v>
      </c>
      <c r="J11" s="62">
        <v>84.05</v>
      </c>
      <c r="K11" s="62">
        <v>89.05</v>
      </c>
      <c r="L11" s="62">
        <v>92.6</v>
      </c>
      <c r="M11" s="66">
        <v>96.3</v>
      </c>
      <c r="N11" s="62">
        <v>241.5</v>
      </c>
      <c r="O11" s="62">
        <v>223.5</v>
      </c>
      <c r="P11" s="61">
        <v>218.6</v>
      </c>
      <c r="Q11" s="61">
        <v>218.6</v>
      </c>
      <c r="R11" s="61">
        <v>218.6</v>
      </c>
      <c r="S11" s="196">
        <v>218.6</v>
      </c>
      <c r="T11" s="176">
        <v>27</v>
      </c>
      <c r="U11" s="179">
        <v>23</v>
      </c>
      <c r="V11" s="182">
        <v>0</v>
      </c>
      <c r="W11" s="178">
        <v>0</v>
      </c>
      <c r="X11" s="197">
        <f t="shared" si="0"/>
        <v>14</v>
      </c>
      <c r="Y11" s="174">
        <v>2</v>
      </c>
      <c r="Z11" s="175">
        <v>3</v>
      </c>
      <c r="AA11" s="175">
        <v>0</v>
      </c>
      <c r="AB11" s="177">
        <v>1</v>
      </c>
      <c r="AC11" s="177">
        <v>1</v>
      </c>
      <c r="AD11" s="177">
        <v>1</v>
      </c>
      <c r="AE11" s="179">
        <v>6</v>
      </c>
      <c r="AF11" s="201">
        <v>18</v>
      </c>
      <c r="AG11" s="193">
        <v>22</v>
      </c>
      <c r="AH11" s="193">
        <v>2</v>
      </c>
      <c r="AI11" s="193">
        <v>2</v>
      </c>
      <c r="AJ11" s="193">
        <v>3</v>
      </c>
      <c r="AK11" s="202">
        <v>3</v>
      </c>
      <c r="AL11" s="183">
        <f t="shared" ref="AL11:AL35" si="1">AM11+AN11+AO11+AP11+AQ11+AR11</f>
        <v>4</v>
      </c>
      <c r="AM11" s="183">
        <v>1</v>
      </c>
      <c r="AN11" s="183">
        <v>2</v>
      </c>
      <c r="AO11" s="183"/>
      <c r="AP11" s="183"/>
      <c r="AQ11" s="184">
        <v>1</v>
      </c>
      <c r="AR11" s="18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5.75" x14ac:dyDescent="0.2">
      <c r="A12" s="194" t="s">
        <v>219</v>
      </c>
      <c r="B12" s="15">
        <v>43.6</v>
      </c>
      <c r="C12" s="15">
        <v>44.62</v>
      </c>
      <c r="D12" s="15">
        <v>50.695929999999997</v>
      </c>
      <c r="E12" s="15">
        <v>53.636299999999999</v>
      </c>
      <c r="F12" s="15">
        <v>55.674480000000003</v>
      </c>
      <c r="G12" s="17">
        <v>57.567410000000002</v>
      </c>
      <c r="H12" s="62">
        <v>24.144459999999999</v>
      </c>
      <c r="I12" s="62">
        <v>26.9</v>
      </c>
      <c r="J12" s="62">
        <v>28.96</v>
      </c>
      <c r="K12" s="62">
        <v>30.6</v>
      </c>
      <c r="L12" s="62">
        <v>31.87</v>
      </c>
      <c r="M12" s="66">
        <v>33.148000000000003</v>
      </c>
      <c r="N12" s="62">
        <v>57.15</v>
      </c>
      <c r="O12" s="62">
        <v>56.55</v>
      </c>
      <c r="P12" s="61">
        <v>56.55</v>
      </c>
      <c r="Q12" s="61">
        <v>56.55</v>
      </c>
      <c r="R12" s="61">
        <v>56.55</v>
      </c>
      <c r="S12" s="196">
        <v>56.55</v>
      </c>
      <c r="T12" s="176">
        <v>34</v>
      </c>
      <c r="U12" s="179">
        <v>30</v>
      </c>
      <c r="V12" s="182">
        <v>0</v>
      </c>
      <c r="W12" s="178">
        <v>0</v>
      </c>
      <c r="X12" s="197">
        <f t="shared" si="0"/>
        <v>8</v>
      </c>
      <c r="Y12" s="174">
        <v>2</v>
      </c>
      <c r="Z12" s="175">
        <v>0</v>
      </c>
      <c r="AA12" s="175">
        <v>0</v>
      </c>
      <c r="AB12" s="177">
        <v>0</v>
      </c>
      <c r="AC12" s="177">
        <v>3</v>
      </c>
      <c r="AD12" s="177">
        <v>0</v>
      </c>
      <c r="AE12" s="179">
        <v>3</v>
      </c>
      <c r="AF12" s="201">
        <v>15</v>
      </c>
      <c r="AG12" s="193">
        <v>14</v>
      </c>
      <c r="AH12" s="193">
        <v>0</v>
      </c>
      <c r="AI12" s="193">
        <v>0</v>
      </c>
      <c r="AJ12" s="193">
        <v>1</v>
      </c>
      <c r="AK12" s="202">
        <v>1</v>
      </c>
      <c r="AL12" s="183">
        <f t="shared" si="1"/>
        <v>3</v>
      </c>
      <c r="AM12" s="183">
        <v>1</v>
      </c>
      <c r="AN12" s="183">
        <v>1</v>
      </c>
      <c r="AO12" s="183"/>
      <c r="AP12" s="183"/>
      <c r="AQ12" s="184">
        <v>1</v>
      </c>
      <c r="AR12" s="18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5.75" x14ac:dyDescent="0.2">
      <c r="A13" s="194" t="s">
        <v>220</v>
      </c>
      <c r="B13" s="15">
        <v>76.2</v>
      </c>
      <c r="C13" s="15">
        <v>210.86</v>
      </c>
      <c r="D13" s="15">
        <v>244.52467999999999</v>
      </c>
      <c r="E13" s="15">
        <v>258.70711</v>
      </c>
      <c r="F13" s="15">
        <v>268.53798</v>
      </c>
      <c r="G13" s="17">
        <v>277.66827999999998</v>
      </c>
      <c r="H13" s="62">
        <v>66.69059</v>
      </c>
      <c r="I13" s="62">
        <v>67.92</v>
      </c>
      <c r="J13" s="62">
        <v>99.3</v>
      </c>
      <c r="K13" s="62">
        <v>105.29</v>
      </c>
      <c r="L13" s="62">
        <v>109.5</v>
      </c>
      <c r="M13" s="66">
        <v>113.9</v>
      </c>
      <c r="N13" s="62">
        <v>121</v>
      </c>
      <c r="O13" s="62">
        <v>114</v>
      </c>
      <c r="P13" s="61">
        <v>119.6</v>
      </c>
      <c r="Q13" s="61">
        <v>119.6</v>
      </c>
      <c r="R13" s="61">
        <v>119.6</v>
      </c>
      <c r="S13" s="196">
        <v>119.6</v>
      </c>
      <c r="T13" s="176">
        <v>15</v>
      </c>
      <c r="U13" s="179">
        <v>15</v>
      </c>
      <c r="V13" s="182">
        <v>0</v>
      </c>
      <c r="W13" s="178">
        <v>0</v>
      </c>
      <c r="X13" s="197">
        <f t="shared" si="0"/>
        <v>12</v>
      </c>
      <c r="Y13" s="174">
        <v>0</v>
      </c>
      <c r="Z13" s="175">
        <v>3</v>
      </c>
      <c r="AA13" s="175">
        <v>1</v>
      </c>
      <c r="AB13" s="177">
        <v>0</v>
      </c>
      <c r="AC13" s="177">
        <v>4</v>
      </c>
      <c r="AD13" s="177">
        <v>0</v>
      </c>
      <c r="AE13" s="179">
        <v>4</v>
      </c>
      <c r="AF13" s="201">
        <v>15</v>
      </c>
      <c r="AG13" s="193">
        <v>15</v>
      </c>
      <c r="AH13" s="193">
        <v>0</v>
      </c>
      <c r="AI13" s="193">
        <v>0</v>
      </c>
      <c r="AJ13" s="193">
        <v>1</v>
      </c>
      <c r="AK13" s="202">
        <v>1</v>
      </c>
      <c r="AL13" s="183">
        <f t="shared" si="1"/>
        <v>3</v>
      </c>
      <c r="AM13" s="183">
        <v>0</v>
      </c>
      <c r="AN13" s="183">
        <v>2</v>
      </c>
      <c r="AO13" s="183"/>
      <c r="AP13" s="183"/>
      <c r="AQ13" s="184">
        <v>1</v>
      </c>
      <c r="AR13" s="18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5.75" x14ac:dyDescent="0.2">
      <c r="A14" s="194" t="s">
        <v>221</v>
      </c>
      <c r="B14" s="15">
        <v>11.9</v>
      </c>
      <c r="C14" s="15">
        <v>12.935</v>
      </c>
      <c r="D14" s="15">
        <v>13.747</v>
      </c>
      <c r="E14" s="15">
        <v>14.544370000000001</v>
      </c>
      <c r="F14" s="15">
        <v>15.097049999999999</v>
      </c>
      <c r="G14" s="17">
        <v>15.61035</v>
      </c>
      <c r="H14" s="62">
        <v>50.260169999999995</v>
      </c>
      <c r="I14" s="62">
        <v>53.74</v>
      </c>
      <c r="J14" s="62">
        <v>58.79</v>
      </c>
      <c r="K14" s="62">
        <v>62.3</v>
      </c>
      <c r="L14" s="62">
        <v>64.7</v>
      </c>
      <c r="M14" s="66">
        <v>67.3</v>
      </c>
      <c r="N14" s="62">
        <v>120.37</v>
      </c>
      <c r="O14" s="62">
        <v>119.37</v>
      </c>
      <c r="P14" s="61">
        <v>123.77</v>
      </c>
      <c r="Q14" s="61">
        <v>123.77</v>
      </c>
      <c r="R14" s="61">
        <v>123.77</v>
      </c>
      <c r="S14" s="196">
        <v>123.7</v>
      </c>
      <c r="T14" s="176">
        <v>62</v>
      </c>
      <c r="U14" s="179">
        <v>58</v>
      </c>
      <c r="V14" s="182">
        <v>0</v>
      </c>
      <c r="W14" s="178">
        <v>0</v>
      </c>
      <c r="X14" s="197">
        <f t="shared" si="0"/>
        <v>7</v>
      </c>
      <c r="Y14" s="174">
        <v>0</v>
      </c>
      <c r="Z14" s="175">
        <v>0</v>
      </c>
      <c r="AA14" s="175">
        <v>1</v>
      </c>
      <c r="AB14" s="177">
        <v>0</v>
      </c>
      <c r="AC14" s="177">
        <v>1</v>
      </c>
      <c r="AD14" s="177">
        <v>0</v>
      </c>
      <c r="AE14" s="179">
        <v>5</v>
      </c>
      <c r="AF14" s="201">
        <v>20</v>
      </c>
      <c r="AG14" s="193">
        <v>18</v>
      </c>
      <c r="AH14" s="193">
        <v>1</v>
      </c>
      <c r="AI14" s="193">
        <v>1</v>
      </c>
      <c r="AJ14" s="193">
        <v>1</v>
      </c>
      <c r="AK14" s="202">
        <v>0</v>
      </c>
      <c r="AL14" s="183">
        <f t="shared" si="1"/>
        <v>4</v>
      </c>
      <c r="AM14" s="183">
        <v>1</v>
      </c>
      <c r="AN14" s="183">
        <v>2</v>
      </c>
      <c r="AO14" s="183"/>
      <c r="AP14" s="183"/>
      <c r="AQ14" s="184">
        <v>1</v>
      </c>
      <c r="AR14" s="18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5.75" x14ac:dyDescent="0.2">
      <c r="A15" s="194" t="s">
        <v>222</v>
      </c>
      <c r="B15" s="15">
        <v>48.3</v>
      </c>
      <c r="C15" s="15">
        <v>49.35</v>
      </c>
      <c r="D15" s="15">
        <v>56.21069</v>
      </c>
      <c r="E15" s="15">
        <v>59.470910000000003</v>
      </c>
      <c r="F15" s="15">
        <v>61.730809999999998</v>
      </c>
      <c r="G15" s="17">
        <v>63.829659999999997</v>
      </c>
      <c r="H15" s="62">
        <v>73.580839999999995</v>
      </c>
      <c r="I15" s="62">
        <v>64</v>
      </c>
      <c r="J15" s="62">
        <v>69.3</v>
      </c>
      <c r="K15" s="62">
        <v>73.400000000000006</v>
      </c>
      <c r="L15" s="62">
        <v>76.400000000000006</v>
      </c>
      <c r="M15" s="66">
        <v>79.400000000000006</v>
      </c>
      <c r="N15" s="62">
        <v>173.9</v>
      </c>
      <c r="O15" s="62">
        <v>132.4</v>
      </c>
      <c r="P15" s="61">
        <v>137.99</v>
      </c>
      <c r="Q15" s="61">
        <v>137.99</v>
      </c>
      <c r="R15" s="61">
        <v>137.99</v>
      </c>
      <c r="S15" s="196">
        <v>137.99</v>
      </c>
      <c r="T15" s="176">
        <v>50</v>
      </c>
      <c r="U15" s="179">
        <v>50</v>
      </c>
      <c r="V15" s="182">
        <v>0</v>
      </c>
      <c r="W15" s="178">
        <v>0</v>
      </c>
      <c r="X15" s="197">
        <f t="shared" si="0"/>
        <v>10</v>
      </c>
      <c r="Y15" s="174">
        <v>1</v>
      </c>
      <c r="Z15" s="175">
        <v>0</v>
      </c>
      <c r="AA15" s="175">
        <v>0</v>
      </c>
      <c r="AB15" s="177">
        <v>1</v>
      </c>
      <c r="AC15" s="177">
        <v>4</v>
      </c>
      <c r="AD15" s="177">
        <v>0</v>
      </c>
      <c r="AE15" s="179">
        <v>4</v>
      </c>
      <c r="AF15" s="201">
        <v>17</v>
      </c>
      <c r="AG15" s="193">
        <v>13</v>
      </c>
      <c r="AH15" s="193">
        <v>0</v>
      </c>
      <c r="AI15" s="193">
        <v>0</v>
      </c>
      <c r="AJ15" s="193">
        <v>1</v>
      </c>
      <c r="AK15" s="202">
        <v>1</v>
      </c>
      <c r="AL15" s="183">
        <f t="shared" si="1"/>
        <v>3</v>
      </c>
      <c r="AM15" s="183">
        <v>1</v>
      </c>
      <c r="AN15" s="183">
        <v>1</v>
      </c>
      <c r="AO15" s="183"/>
      <c r="AP15" s="183"/>
      <c r="AQ15" s="184">
        <v>1</v>
      </c>
      <c r="AR15" s="18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5.75" x14ac:dyDescent="0.2">
      <c r="A16" s="194" t="s">
        <v>223</v>
      </c>
      <c r="B16" s="15">
        <v>24.7</v>
      </c>
      <c r="C16" s="15">
        <v>25.71</v>
      </c>
      <c r="D16" s="15">
        <v>28.636890000000001</v>
      </c>
      <c r="E16" s="15">
        <v>30.297830000000001</v>
      </c>
      <c r="F16" s="15">
        <v>31.449149999999999</v>
      </c>
      <c r="G16" s="17">
        <v>32.518419999999999</v>
      </c>
      <c r="H16" s="62">
        <v>34.357230000000001</v>
      </c>
      <c r="I16" s="62">
        <v>36.1</v>
      </c>
      <c r="J16" s="62">
        <v>38.200000000000003</v>
      </c>
      <c r="K16" s="62">
        <v>40.5</v>
      </c>
      <c r="L16" s="62">
        <v>42.1</v>
      </c>
      <c r="M16" s="66">
        <v>43.8</v>
      </c>
      <c r="N16" s="62">
        <v>89.3</v>
      </c>
      <c r="O16" s="62">
        <v>88.5</v>
      </c>
      <c r="P16" s="61">
        <v>88.2</v>
      </c>
      <c r="Q16" s="61">
        <v>88.2</v>
      </c>
      <c r="R16" s="61">
        <v>88.2</v>
      </c>
      <c r="S16" s="196">
        <v>88.2</v>
      </c>
      <c r="T16" s="176">
        <v>19</v>
      </c>
      <c r="U16" s="179">
        <v>17</v>
      </c>
      <c r="V16" s="182">
        <v>0</v>
      </c>
      <c r="W16" s="178">
        <v>0</v>
      </c>
      <c r="X16" s="197">
        <f t="shared" si="0"/>
        <v>8</v>
      </c>
      <c r="Y16" s="174">
        <v>0</v>
      </c>
      <c r="Z16" s="175">
        <v>0</v>
      </c>
      <c r="AA16" s="175">
        <v>1</v>
      </c>
      <c r="AB16" s="177">
        <v>0</v>
      </c>
      <c r="AC16" s="177">
        <v>2</v>
      </c>
      <c r="AD16" s="177">
        <v>1</v>
      </c>
      <c r="AE16" s="179">
        <v>4</v>
      </c>
      <c r="AF16" s="201">
        <v>9</v>
      </c>
      <c r="AG16" s="193">
        <v>10</v>
      </c>
      <c r="AH16" s="193">
        <v>0</v>
      </c>
      <c r="AI16" s="193">
        <v>0</v>
      </c>
      <c r="AJ16" s="193">
        <v>1</v>
      </c>
      <c r="AK16" s="202">
        <v>2</v>
      </c>
      <c r="AL16" s="183">
        <f t="shared" si="1"/>
        <v>3</v>
      </c>
      <c r="AM16" s="183">
        <v>1</v>
      </c>
      <c r="AN16" s="183">
        <v>1</v>
      </c>
      <c r="AO16" s="183"/>
      <c r="AP16" s="183"/>
      <c r="AQ16" s="184">
        <v>1</v>
      </c>
      <c r="AR16" s="18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5.75" x14ac:dyDescent="0.2">
      <c r="A17" s="194" t="s">
        <v>213</v>
      </c>
      <c r="B17" s="15">
        <v>194.9</v>
      </c>
      <c r="C17" s="15">
        <v>195.97</v>
      </c>
      <c r="D17" s="15">
        <v>227.16827000000001</v>
      </c>
      <c r="E17" s="15">
        <v>240.34403</v>
      </c>
      <c r="F17" s="15">
        <v>249.47710000000001</v>
      </c>
      <c r="G17" s="17">
        <v>257.95931999999999</v>
      </c>
      <c r="H17" s="62">
        <v>606.23077999999998</v>
      </c>
      <c r="I17" s="62">
        <v>570.97</v>
      </c>
      <c r="J17" s="62">
        <v>607.69000000000005</v>
      </c>
      <c r="K17" s="62">
        <v>632.70000000000005</v>
      </c>
      <c r="L17" s="62">
        <v>647.02</v>
      </c>
      <c r="M17" s="66">
        <v>672.9</v>
      </c>
      <c r="N17" s="62">
        <v>715.45</v>
      </c>
      <c r="O17" s="62">
        <v>601.04999999999995</v>
      </c>
      <c r="P17" s="61">
        <v>563.79999999999995</v>
      </c>
      <c r="Q17" s="61">
        <v>604.6</v>
      </c>
      <c r="R17" s="61">
        <v>604.9</v>
      </c>
      <c r="S17" s="196">
        <v>604.6</v>
      </c>
      <c r="T17" s="176">
        <v>68</v>
      </c>
      <c r="U17" s="179">
        <v>58</v>
      </c>
      <c r="V17" s="182">
        <v>0</v>
      </c>
      <c r="W17" s="178">
        <v>0</v>
      </c>
      <c r="X17" s="197">
        <f t="shared" si="0"/>
        <v>20</v>
      </c>
      <c r="Y17" s="174">
        <v>3</v>
      </c>
      <c r="Z17" s="175">
        <v>0</v>
      </c>
      <c r="AA17" s="175">
        <v>3</v>
      </c>
      <c r="AB17" s="177">
        <v>1</v>
      </c>
      <c r="AC17" s="177">
        <v>6</v>
      </c>
      <c r="AD17" s="177">
        <v>2</v>
      </c>
      <c r="AE17" s="179">
        <v>5</v>
      </c>
      <c r="AF17" s="201">
        <v>31</v>
      </c>
      <c r="AG17" s="193">
        <v>36</v>
      </c>
      <c r="AH17" s="193">
        <v>0</v>
      </c>
      <c r="AI17" s="193">
        <v>0</v>
      </c>
      <c r="AJ17" s="193">
        <v>6</v>
      </c>
      <c r="AK17" s="202">
        <v>6</v>
      </c>
      <c r="AL17" s="183">
        <f t="shared" si="1"/>
        <v>5</v>
      </c>
      <c r="AM17" s="183">
        <v>1</v>
      </c>
      <c r="AN17" s="183">
        <v>2</v>
      </c>
      <c r="AO17" s="183"/>
      <c r="AP17" s="183"/>
      <c r="AQ17" s="184">
        <v>1</v>
      </c>
      <c r="AR17" s="183">
        <v>1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5.75" x14ac:dyDescent="0.2">
      <c r="A18" s="194" t="s">
        <v>224</v>
      </c>
      <c r="B18" s="15">
        <v>11.4</v>
      </c>
      <c r="C18" s="15">
        <v>12.462</v>
      </c>
      <c r="D18" s="15">
        <v>13.19556</v>
      </c>
      <c r="E18" s="15">
        <v>13.960900000000001</v>
      </c>
      <c r="F18" s="15">
        <v>14.49142</v>
      </c>
      <c r="G18" s="17">
        <v>14.98413</v>
      </c>
      <c r="H18" s="62">
        <v>82.830660000000009</v>
      </c>
      <c r="I18" s="62">
        <v>83</v>
      </c>
      <c r="J18" s="62">
        <v>89.7</v>
      </c>
      <c r="K18" s="62">
        <v>95.07</v>
      </c>
      <c r="L18" s="62">
        <v>98.8</v>
      </c>
      <c r="M18" s="66">
        <v>102.8</v>
      </c>
      <c r="N18" s="62">
        <v>192.16</v>
      </c>
      <c r="O18" s="62">
        <v>174.5</v>
      </c>
      <c r="P18" s="61">
        <v>180.4</v>
      </c>
      <c r="Q18" s="61">
        <v>180.4</v>
      </c>
      <c r="R18" s="61">
        <v>180.4</v>
      </c>
      <c r="S18" s="196">
        <v>180.4</v>
      </c>
      <c r="T18" s="176">
        <v>87</v>
      </c>
      <c r="U18" s="179">
        <v>70</v>
      </c>
      <c r="V18" s="182">
        <v>0</v>
      </c>
      <c r="W18" s="178">
        <v>0</v>
      </c>
      <c r="X18" s="197">
        <f t="shared" si="0"/>
        <v>19</v>
      </c>
      <c r="Y18" s="174">
        <v>3</v>
      </c>
      <c r="Z18" s="175">
        <v>3</v>
      </c>
      <c r="AA18" s="175">
        <v>1</v>
      </c>
      <c r="AB18" s="177">
        <v>0</v>
      </c>
      <c r="AC18" s="177">
        <v>3</v>
      </c>
      <c r="AD18" s="177">
        <v>2</v>
      </c>
      <c r="AE18" s="179">
        <v>7</v>
      </c>
      <c r="AF18" s="201">
        <v>26</v>
      </c>
      <c r="AG18" s="193">
        <v>26</v>
      </c>
      <c r="AH18" s="193">
        <v>0</v>
      </c>
      <c r="AI18" s="193">
        <v>0</v>
      </c>
      <c r="AJ18" s="193">
        <v>1</v>
      </c>
      <c r="AK18" s="202">
        <v>2</v>
      </c>
      <c r="AL18" s="183">
        <f t="shared" si="1"/>
        <v>6</v>
      </c>
      <c r="AM18" s="183">
        <v>2</v>
      </c>
      <c r="AN18" s="183">
        <v>3</v>
      </c>
      <c r="AO18" s="183"/>
      <c r="AP18" s="183"/>
      <c r="AQ18" s="184">
        <v>1</v>
      </c>
      <c r="AR18" s="183"/>
      <c r="AS18" s="13"/>
      <c r="AT18" s="13"/>
      <c r="AU18" s="13"/>
      <c r="AV18" s="13"/>
      <c r="AY18" s="13"/>
      <c r="AZ18" s="13"/>
      <c r="BA18" s="13"/>
      <c r="BB18" s="13"/>
      <c r="BC18" s="13"/>
    </row>
    <row r="19" spans="1:55" ht="18.75" customHeight="1" x14ac:dyDescent="0.2">
      <c r="A19" s="194" t="s">
        <v>225</v>
      </c>
      <c r="B19" s="15">
        <v>10.5</v>
      </c>
      <c r="C19" s="15">
        <v>11.52</v>
      </c>
      <c r="D19" s="15">
        <v>12.092610000000001</v>
      </c>
      <c r="E19" s="15">
        <v>12.793979999999999</v>
      </c>
      <c r="F19" s="15">
        <v>13.280150000000001</v>
      </c>
      <c r="G19" s="17">
        <v>13.731680000000001</v>
      </c>
      <c r="H19" s="62">
        <v>14.581809999999999</v>
      </c>
      <c r="I19" s="62">
        <v>16.3</v>
      </c>
      <c r="J19" s="62">
        <v>17.3</v>
      </c>
      <c r="K19" s="62">
        <v>18.3</v>
      </c>
      <c r="L19" s="62">
        <v>19</v>
      </c>
      <c r="M19" s="66">
        <v>19.760000000000002</v>
      </c>
      <c r="N19" s="62">
        <v>31.599999999999998</v>
      </c>
      <c r="O19" s="62">
        <v>31.6</v>
      </c>
      <c r="P19" s="61">
        <v>31.8</v>
      </c>
      <c r="Q19" s="61">
        <v>31.8</v>
      </c>
      <c r="R19" s="61">
        <v>31.8</v>
      </c>
      <c r="S19" s="196">
        <v>31.8</v>
      </c>
      <c r="T19" s="176">
        <v>13</v>
      </c>
      <c r="U19" s="179">
        <v>10</v>
      </c>
      <c r="V19" s="182">
        <v>0</v>
      </c>
      <c r="W19" s="178">
        <v>0</v>
      </c>
      <c r="X19" s="197">
        <f t="shared" si="0"/>
        <v>3</v>
      </c>
      <c r="Y19" s="174">
        <v>0</v>
      </c>
      <c r="Z19" s="175">
        <v>1</v>
      </c>
      <c r="AA19" s="175">
        <v>0</v>
      </c>
      <c r="AB19" s="177">
        <v>0</v>
      </c>
      <c r="AC19" s="177">
        <v>0</v>
      </c>
      <c r="AD19" s="177">
        <v>0</v>
      </c>
      <c r="AE19" s="179">
        <v>2</v>
      </c>
      <c r="AF19" s="201">
        <v>7</v>
      </c>
      <c r="AG19" s="193">
        <v>7</v>
      </c>
      <c r="AH19" s="193">
        <v>0</v>
      </c>
      <c r="AI19" s="193">
        <v>0</v>
      </c>
      <c r="AJ19" s="193">
        <v>0</v>
      </c>
      <c r="AK19" s="202">
        <v>0</v>
      </c>
      <c r="AL19" s="183">
        <f t="shared" si="1"/>
        <v>2</v>
      </c>
      <c r="AM19" s="183">
        <v>0</v>
      </c>
      <c r="AN19" s="183">
        <v>1</v>
      </c>
      <c r="AO19" s="183"/>
      <c r="AP19" s="183"/>
      <c r="AQ19" s="184">
        <v>1</v>
      </c>
      <c r="AR19" s="18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5.75" x14ac:dyDescent="0.2">
      <c r="A20" s="194" t="s">
        <v>226</v>
      </c>
      <c r="B20" s="15">
        <v>1313.8</v>
      </c>
      <c r="C20" s="15">
        <v>1494.78</v>
      </c>
      <c r="D20" s="15">
        <v>1612.6285399999999</v>
      </c>
      <c r="E20" s="15">
        <v>1709.8819699999999</v>
      </c>
      <c r="F20" s="15">
        <v>1777.4890399999999</v>
      </c>
      <c r="G20" s="17">
        <v>1846.06438</v>
      </c>
      <c r="H20" s="62">
        <v>415.38734000000005</v>
      </c>
      <c r="I20" s="62">
        <v>408.7</v>
      </c>
      <c r="J20" s="62">
        <v>414.8</v>
      </c>
      <c r="K20" s="62">
        <v>415.4</v>
      </c>
      <c r="L20" s="62">
        <v>415.9</v>
      </c>
      <c r="M20" s="66">
        <v>416.4</v>
      </c>
      <c r="N20" s="62">
        <v>695.8</v>
      </c>
      <c r="O20" s="62">
        <v>693</v>
      </c>
      <c r="P20" s="61">
        <v>703.9</v>
      </c>
      <c r="Q20" s="61">
        <v>703.9</v>
      </c>
      <c r="R20" s="61">
        <v>703.9</v>
      </c>
      <c r="S20" s="196">
        <v>703.9</v>
      </c>
      <c r="T20" s="176">
        <v>81</v>
      </c>
      <c r="U20" s="179">
        <v>65</v>
      </c>
      <c r="V20" s="182">
        <v>0</v>
      </c>
      <c r="W20" s="178">
        <v>0</v>
      </c>
      <c r="X20" s="197">
        <f t="shared" si="0"/>
        <v>20</v>
      </c>
      <c r="Y20" s="174">
        <v>1</v>
      </c>
      <c r="Z20" s="175">
        <v>2</v>
      </c>
      <c r="AA20" s="175">
        <v>2</v>
      </c>
      <c r="AB20" s="177">
        <v>1</v>
      </c>
      <c r="AC20" s="177">
        <v>5</v>
      </c>
      <c r="AD20" s="177">
        <v>1</v>
      </c>
      <c r="AE20" s="179">
        <v>8</v>
      </c>
      <c r="AF20" s="201">
        <v>36</v>
      </c>
      <c r="AG20" s="193">
        <v>39</v>
      </c>
      <c r="AH20" s="193">
        <v>0</v>
      </c>
      <c r="AI20" s="193">
        <v>0</v>
      </c>
      <c r="AJ20" s="193">
        <v>2</v>
      </c>
      <c r="AK20" s="202">
        <v>2</v>
      </c>
      <c r="AL20" s="183">
        <f t="shared" si="1"/>
        <v>7</v>
      </c>
      <c r="AM20" s="183">
        <v>1</v>
      </c>
      <c r="AN20" s="183">
        <v>4</v>
      </c>
      <c r="AO20" s="183"/>
      <c r="AP20" s="183"/>
      <c r="AQ20" s="184">
        <v>1</v>
      </c>
      <c r="AR20" s="183">
        <v>1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8.75" customHeight="1" x14ac:dyDescent="0.2">
      <c r="A21" s="194" t="s">
        <v>227</v>
      </c>
      <c r="B21" s="15">
        <v>10.5</v>
      </c>
      <c r="C21" s="15">
        <v>11.52</v>
      </c>
      <c r="D21" s="15">
        <v>12.092610000000001</v>
      </c>
      <c r="E21" s="15">
        <v>12.793979999999999</v>
      </c>
      <c r="F21" s="15">
        <v>13.280150000000001</v>
      </c>
      <c r="G21" s="17">
        <v>13.731680000000001</v>
      </c>
      <c r="H21" s="62">
        <v>30.01511</v>
      </c>
      <c r="I21" s="62">
        <v>31.8</v>
      </c>
      <c r="J21" s="62">
        <v>36.200000000000003</v>
      </c>
      <c r="K21" s="62">
        <v>38.299999999999997</v>
      </c>
      <c r="L21" s="62">
        <v>39.9</v>
      </c>
      <c r="M21" s="66">
        <v>41.5</v>
      </c>
      <c r="N21" s="62">
        <v>73.099999999999994</v>
      </c>
      <c r="O21" s="62">
        <v>68.900000000000006</v>
      </c>
      <c r="P21" s="61">
        <v>70.099999999999994</v>
      </c>
      <c r="Q21" s="61">
        <v>70.099999999999994</v>
      </c>
      <c r="R21" s="61">
        <v>70.099999999999994</v>
      </c>
      <c r="S21" s="196">
        <v>70.099999999999994</v>
      </c>
      <c r="T21" s="176">
        <v>33</v>
      </c>
      <c r="U21" s="179">
        <v>23</v>
      </c>
      <c r="V21" s="182">
        <v>0</v>
      </c>
      <c r="W21" s="178">
        <v>0</v>
      </c>
      <c r="X21" s="197">
        <f t="shared" si="0"/>
        <v>3</v>
      </c>
      <c r="Y21" s="174">
        <v>0</v>
      </c>
      <c r="Z21" s="175">
        <v>1</v>
      </c>
      <c r="AA21" s="175">
        <v>0</v>
      </c>
      <c r="AB21" s="177">
        <v>0</v>
      </c>
      <c r="AC21" s="177">
        <v>0</v>
      </c>
      <c r="AD21" s="177">
        <v>0</v>
      </c>
      <c r="AE21" s="179">
        <v>2</v>
      </c>
      <c r="AF21" s="201">
        <v>4</v>
      </c>
      <c r="AG21" s="193">
        <v>4</v>
      </c>
      <c r="AH21" s="193">
        <v>0</v>
      </c>
      <c r="AI21" s="193">
        <v>0</v>
      </c>
      <c r="AJ21" s="193">
        <v>1</v>
      </c>
      <c r="AK21" s="202">
        <v>1</v>
      </c>
      <c r="AL21" s="183">
        <f t="shared" si="1"/>
        <v>3</v>
      </c>
      <c r="AM21" s="183">
        <v>1</v>
      </c>
      <c r="AN21" s="183">
        <v>1</v>
      </c>
      <c r="AO21" s="183"/>
      <c r="AP21" s="183"/>
      <c r="AQ21" s="184">
        <v>1</v>
      </c>
      <c r="AR21" s="18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ht="15.75" x14ac:dyDescent="0.2">
      <c r="A22" s="194" t="s">
        <v>228</v>
      </c>
      <c r="B22" s="15">
        <v>313.2</v>
      </c>
      <c r="C22" s="15">
        <v>314.20999999999998</v>
      </c>
      <c r="D22" s="15">
        <v>365.03728000000001</v>
      </c>
      <c r="E22" s="15">
        <v>386.20945</v>
      </c>
      <c r="F22" s="15">
        <v>400.8854</v>
      </c>
      <c r="G22" s="17">
        <v>414.51551000000001</v>
      </c>
      <c r="H22" s="62">
        <v>219.08257</v>
      </c>
      <c r="I22" s="62">
        <v>221.9</v>
      </c>
      <c r="J22" s="62">
        <v>231.1</v>
      </c>
      <c r="K22" s="62">
        <v>245.1</v>
      </c>
      <c r="L22" s="62">
        <v>254.9</v>
      </c>
      <c r="M22" s="66">
        <v>265.10000000000002</v>
      </c>
      <c r="N22" s="62">
        <v>456.4</v>
      </c>
      <c r="O22" s="62">
        <v>438.3</v>
      </c>
      <c r="P22" s="61">
        <v>436.4</v>
      </c>
      <c r="Q22" s="61">
        <v>436.4</v>
      </c>
      <c r="R22" s="61">
        <v>436.4</v>
      </c>
      <c r="S22" s="196">
        <v>436.4</v>
      </c>
      <c r="T22" s="176">
        <v>15</v>
      </c>
      <c r="U22" s="179">
        <v>15</v>
      </c>
      <c r="V22" s="182">
        <v>0</v>
      </c>
      <c r="W22" s="178">
        <v>0</v>
      </c>
      <c r="X22" s="197">
        <f t="shared" si="0"/>
        <v>20</v>
      </c>
      <c r="Y22" s="174">
        <v>3</v>
      </c>
      <c r="Z22" s="175">
        <v>3</v>
      </c>
      <c r="AA22" s="175">
        <v>1</v>
      </c>
      <c r="AB22" s="177">
        <v>4</v>
      </c>
      <c r="AC22" s="177">
        <v>4</v>
      </c>
      <c r="AD22" s="177">
        <v>1</v>
      </c>
      <c r="AE22" s="179">
        <v>4</v>
      </c>
      <c r="AF22" s="201">
        <v>20</v>
      </c>
      <c r="AG22" s="193">
        <v>21</v>
      </c>
      <c r="AH22" s="193">
        <v>3</v>
      </c>
      <c r="AI22" s="193">
        <v>3</v>
      </c>
      <c r="AJ22" s="193">
        <v>11</v>
      </c>
      <c r="AK22" s="202">
        <v>11</v>
      </c>
      <c r="AL22" s="183">
        <f t="shared" si="1"/>
        <v>5</v>
      </c>
      <c r="AM22" s="183">
        <v>0</v>
      </c>
      <c r="AN22" s="183">
        <v>1</v>
      </c>
      <c r="AO22" s="183"/>
      <c r="AP22" s="183">
        <v>1</v>
      </c>
      <c r="AQ22" s="184">
        <v>1</v>
      </c>
      <c r="AR22" s="183">
        <v>2</v>
      </c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ht="15.75" x14ac:dyDescent="0.2">
      <c r="A23" s="194" t="s">
        <v>229</v>
      </c>
      <c r="B23" s="15">
        <v>19.899999999999999</v>
      </c>
      <c r="C23" s="15">
        <v>20.98</v>
      </c>
      <c r="D23" s="15">
        <v>23.122129999999999</v>
      </c>
      <c r="E23" s="15">
        <v>24.46321</v>
      </c>
      <c r="F23" s="15">
        <v>25.39282</v>
      </c>
      <c r="G23" s="17">
        <v>26.256170000000001</v>
      </c>
      <c r="H23" s="62">
        <v>18.134070000000001</v>
      </c>
      <c r="I23" s="62">
        <v>20</v>
      </c>
      <c r="J23" s="62">
        <v>22.5</v>
      </c>
      <c r="K23" s="62">
        <v>23.9</v>
      </c>
      <c r="L23" s="62">
        <v>24.8</v>
      </c>
      <c r="M23" s="66">
        <v>25.8</v>
      </c>
      <c r="N23" s="62">
        <v>53.7</v>
      </c>
      <c r="O23" s="62">
        <v>54.05</v>
      </c>
      <c r="P23" s="61">
        <v>54.8</v>
      </c>
      <c r="Q23" s="61">
        <v>54.8</v>
      </c>
      <c r="R23" s="61">
        <v>54.8</v>
      </c>
      <c r="S23" s="196">
        <v>54.8</v>
      </c>
      <c r="T23" s="176">
        <v>10</v>
      </c>
      <c r="U23" s="179">
        <v>10</v>
      </c>
      <c r="V23" s="182">
        <v>0</v>
      </c>
      <c r="W23" s="178">
        <v>0</v>
      </c>
      <c r="X23" s="197">
        <f t="shared" si="0"/>
        <v>6</v>
      </c>
      <c r="Y23" s="174">
        <v>0</v>
      </c>
      <c r="Z23" s="175">
        <v>0</v>
      </c>
      <c r="AA23" s="175">
        <v>3</v>
      </c>
      <c r="AB23" s="177">
        <v>0</v>
      </c>
      <c r="AC23" s="177">
        <v>1</v>
      </c>
      <c r="AD23" s="177">
        <v>0</v>
      </c>
      <c r="AE23" s="179">
        <v>2</v>
      </c>
      <c r="AF23" s="201">
        <v>7</v>
      </c>
      <c r="AG23" s="193">
        <v>8</v>
      </c>
      <c r="AH23" s="193">
        <v>0</v>
      </c>
      <c r="AI23" s="193">
        <v>0</v>
      </c>
      <c r="AJ23" s="193">
        <v>1</v>
      </c>
      <c r="AK23" s="202">
        <v>1</v>
      </c>
      <c r="AL23" s="183">
        <f t="shared" si="1"/>
        <v>2</v>
      </c>
      <c r="AM23" s="183">
        <v>0</v>
      </c>
      <c r="AN23" s="183">
        <v>1</v>
      </c>
      <c r="AO23" s="183"/>
      <c r="AP23" s="183"/>
      <c r="AQ23" s="184">
        <v>1</v>
      </c>
      <c r="AR23" s="18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ht="15.75" x14ac:dyDescent="0.2">
      <c r="A24" s="194" t="s">
        <v>208</v>
      </c>
      <c r="B24" s="15">
        <v>38.9</v>
      </c>
      <c r="C24" s="15">
        <v>39.89</v>
      </c>
      <c r="D24" s="15">
        <v>45.181170000000002</v>
      </c>
      <c r="E24" s="15">
        <v>47.801679999999998</v>
      </c>
      <c r="F24" s="15">
        <v>49.618139999999997</v>
      </c>
      <c r="G24" s="17">
        <v>51.305160000000001</v>
      </c>
      <c r="H24" s="62">
        <v>565.07232999999997</v>
      </c>
      <c r="I24" s="62">
        <v>607.1</v>
      </c>
      <c r="J24" s="62">
        <v>739.9</v>
      </c>
      <c r="K24" s="62">
        <v>771.1</v>
      </c>
      <c r="L24" s="62">
        <v>787.6</v>
      </c>
      <c r="M24" s="66">
        <v>819.1</v>
      </c>
      <c r="N24" s="62">
        <v>622.9</v>
      </c>
      <c r="O24" s="62">
        <v>665</v>
      </c>
      <c r="P24" s="61">
        <v>664.7</v>
      </c>
      <c r="Q24" s="61">
        <v>670.2</v>
      </c>
      <c r="R24" s="61">
        <v>670</v>
      </c>
      <c r="S24" s="196">
        <v>670</v>
      </c>
      <c r="T24" s="176">
        <v>18</v>
      </c>
      <c r="U24" s="179">
        <v>15</v>
      </c>
      <c r="V24" s="182">
        <v>0</v>
      </c>
      <c r="W24" s="178">
        <v>0</v>
      </c>
      <c r="X24" s="197">
        <f t="shared" si="0"/>
        <v>11</v>
      </c>
      <c r="Y24" s="174">
        <v>0</v>
      </c>
      <c r="Z24" s="175">
        <v>1</v>
      </c>
      <c r="AA24" s="175">
        <v>1</v>
      </c>
      <c r="AB24" s="177">
        <v>1</v>
      </c>
      <c r="AC24" s="177">
        <v>4</v>
      </c>
      <c r="AD24" s="177">
        <v>0</v>
      </c>
      <c r="AE24" s="179">
        <v>4</v>
      </c>
      <c r="AF24" s="201">
        <v>10</v>
      </c>
      <c r="AG24" s="193">
        <v>10</v>
      </c>
      <c r="AH24" s="193">
        <v>0</v>
      </c>
      <c r="AI24" s="193">
        <v>0</v>
      </c>
      <c r="AJ24" s="193">
        <v>7</v>
      </c>
      <c r="AK24" s="202">
        <v>7</v>
      </c>
      <c r="AL24" s="183">
        <f t="shared" si="1"/>
        <v>3</v>
      </c>
      <c r="AM24" s="183">
        <v>1</v>
      </c>
      <c r="AN24" s="183">
        <v>1</v>
      </c>
      <c r="AO24" s="183"/>
      <c r="AP24" s="183"/>
      <c r="AQ24" s="184">
        <v>1</v>
      </c>
      <c r="AR24" s="18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ht="15.75" x14ac:dyDescent="0.2">
      <c r="A25" s="194" t="s">
        <v>212</v>
      </c>
      <c r="B25" s="15">
        <v>758.3</v>
      </c>
      <c r="C25" s="15">
        <v>806.41</v>
      </c>
      <c r="D25" s="15">
        <v>856.60617999999999</v>
      </c>
      <c r="E25" s="15">
        <v>906.28932999999995</v>
      </c>
      <c r="F25" s="15">
        <v>940.72833000000003</v>
      </c>
      <c r="G25" s="17">
        <v>972.71308999999997</v>
      </c>
      <c r="H25" s="62">
        <v>102.258</v>
      </c>
      <c r="I25" s="62">
        <v>103.1</v>
      </c>
      <c r="J25" s="62">
        <v>108.7</v>
      </c>
      <c r="K25" s="62">
        <v>115.2</v>
      </c>
      <c r="L25" s="62">
        <v>119.8</v>
      </c>
      <c r="M25" s="66">
        <v>124.5</v>
      </c>
      <c r="N25" s="62">
        <v>262.17</v>
      </c>
      <c r="O25" s="62">
        <v>252.6</v>
      </c>
      <c r="P25" s="61">
        <v>250.47</v>
      </c>
      <c r="Q25" s="61">
        <v>249.97</v>
      </c>
      <c r="R25" s="61">
        <v>249.97</v>
      </c>
      <c r="S25" s="196">
        <v>249.97</v>
      </c>
      <c r="T25" s="176">
        <v>114</v>
      </c>
      <c r="U25" s="179">
        <v>95</v>
      </c>
      <c r="V25" s="182">
        <v>0</v>
      </c>
      <c r="W25" s="178">
        <v>0</v>
      </c>
      <c r="X25" s="197">
        <f t="shared" si="0"/>
        <v>28</v>
      </c>
      <c r="Y25" s="174">
        <v>2</v>
      </c>
      <c r="Z25" s="175">
        <v>2</v>
      </c>
      <c r="AA25" s="175">
        <v>4</v>
      </c>
      <c r="AB25" s="177">
        <v>1</v>
      </c>
      <c r="AC25" s="177">
        <v>6</v>
      </c>
      <c r="AD25" s="177">
        <v>5</v>
      </c>
      <c r="AE25" s="179">
        <v>8</v>
      </c>
      <c r="AF25" s="201">
        <v>39</v>
      </c>
      <c r="AG25" s="193">
        <v>36</v>
      </c>
      <c r="AH25" s="193">
        <v>0</v>
      </c>
      <c r="AI25" s="193">
        <v>0</v>
      </c>
      <c r="AJ25" s="193">
        <v>7</v>
      </c>
      <c r="AK25" s="202">
        <v>7</v>
      </c>
      <c r="AL25" s="183">
        <f t="shared" si="1"/>
        <v>4</v>
      </c>
      <c r="AM25" s="183">
        <v>1</v>
      </c>
      <c r="AN25" s="183">
        <v>1</v>
      </c>
      <c r="AO25" s="183">
        <v>1</v>
      </c>
      <c r="AP25" s="183"/>
      <c r="AQ25" s="184">
        <v>1</v>
      </c>
      <c r="AR25" s="18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ht="15.75" x14ac:dyDescent="0.2">
      <c r="A26" s="194" t="s">
        <v>230</v>
      </c>
      <c r="B26" s="15">
        <v>10.5</v>
      </c>
      <c r="C26" s="15">
        <v>11.52</v>
      </c>
      <c r="D26" s="15">
        <v>12.092610000000001</v>
      </c>
      <c r="E26" s="15">
        <v>12.793979999999999</v>
      </c>
      <c r="F26" s="15">
        <v>13.280150000000001</v>
      </c>
      <c r="G26" s="17">
        <v>13.731680000000001</v>
      </c>
      <c r="H26" s="62">
        <v>29.601410000000001</v>
      </c>
      <c r="I26" s="62">
        <v>31.2</v>
      </c>
      <c r="J26" s="62">
        <v>32.799999999999997</v>
      </c>
      <c r="K26" s="62">
        <v>34.700000000000003</v>
      </c>
      <c r="L26" s="62">
        <v>36.1</v>
      </c>
      <c r="M26" s="66">
        <v>37.5</v>
      </c>
      <c r="N26" s="62">
        <v>70</v>
      </c>
      <c r="O26" s="62">
        <v>70.3</v>
      </c>
      <c r="P26" s="61">
        <v>69.400000000000006</v>
      </c>
      <c r="Q26" s="61">
        <v>69.400000000000006</v>
      </c>
      <c r="R26" s="61">
        <v>69.400000000000006</v>
      </c>
      <c r="S26" s="196">
        <v>69.400000000000006</v>
      </c>
      <c r="T26" s="176">
        <v>6</v>
      </c>
      <c r="U26" s="179">
        <v>6</v>
      </c>
      <c r="V26" s="182">
        <v>0</v>
      </c>
      <c r="W26" s="178">
        <v>0</v>
      </c>
      <c r="X26" s="197">
        <f t="shared" si="0"/>
        <v>7</v>
      </c>
      <c r="Y26" s="174">
        <v>0</v>
      </c>
      <c r="Z26" s="175">
        <v>0</v>
      </c>
      <c r="AA26" s="175">
        <v>1</v>
      </c>
      <c r="AB26" s="177">
        <v>0</v>
      </c>
      <c r="AC26" s="177">
        <v>1</v>
      </c>
      <c r="AD26" s="177">
        <v>0</v>
      </c>
      <c r="AE26" s="179">
        <v>5</v>
      </c>
      <c r="AF26" s="201">
        <v>9</v>
      </c>
      <c r="AG26" s="193">
        <v>10</v>
      </c>
      <c r="AH26" s="193">
        <v>0</v>
      </c>
      <c r="AI26" s="193">
        <v>0</v>
      </c>
      <c r="AJ26" s="193">
        <v>0</v>
      </c>
      <c r="AK26" s="202">
        <v>0</v>
      </c>
      <c r="AL26" s="183">
        <f t="shared" si="1"/>
        <v>3</v>
      </c>
      <c r="AM26" s="183">
        <v>1</v>
      </c>
      <c r="AN26" s="183">
        <v>1</v>
      </c>
      <c r="AO26" s="183"/>
      <c r="AP26" s="183"/>
      <c r="AQ26" s="184">
        <v>1</v>
      </c>
      <c r="AR26" s="18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ht="15.75" x14ac:dyDescent="0.2">
      <c r="A27" s="194" t="s">
        <v>231</v>
      </c>
      <c r="B27" s="15">
        <v>228</v>
      </c>
      <c r="C27" s="15">
        <v>229.08</v>
      </c>
      <c r="D27" s="15">
        <v>265.77159</v>
      </c>
      <c r="E27" s="15">
        <v>281.18635</v>
      </c>
      <c r="F27" s="15">
        <v>291.87142999999998</v>
      </c>
      <c r="G27" s="17">
        <v>301.79505999999998</v>
      </c>
      <c r="H27" s="62">
        <v>86.506690000000006</v>
      </c>
      <c r="I27" s="62">
        <v>140.4</v>
      </c>
      <c r="J27" s="62">
        <v>95.1</v>
      </c>
      <c r="K27" s="62">
        <v>100.9</v>
      </c>
      <c r="L27" s="62">
        <v>104.9</v>
      </c>
      <c r="M27" s="66">
        <v>109.2</v>
      </c>
      <c r="N27" s="62">
        <v>226.45</v>
      </c>
      <c r="O27" s="62">
        <v>201.05</v>
      </c>
      <c r="P27" s="61">
        <v>201.65</v>
      </c>
      <c r="Q27" s="61">
        <v>201.05</v>
      </c>
      <c r="R27" s="61">
        <v>201.05</v>
      </c>
      <c r="S27" s="196">
        <v>201.05</v>
      </c>
      <c r="T27" s="176">
        <v>82</v>
      </c>
      <c r="U27" s="179">
        <v>62</v>
      </c>
      <c r="V27" s="182">
        <v>0</v>
      </c>
      <c r="W27" s="178">
        <v>0</v>
      </c>
      <c r="X27" s="197">
        <f t="shared" si="0"/>
        <v>22</v>
      </c>
      <c r="Y27" s="174">
        <v>2</v>
      </c>
      <c r="Z27" s="175">
        <v>2</v>
      </c>
      <c r="AA27" s="175">
        <v>3</v>
      </c>
      <c r="AB27" s="177">
        <v>2</v>
      </c>
      <c r="AC27" s="177">
        <v>6</v>
      </c>
      <c r="AD27" s="177">
        <v>0</v>
      </c>
      <c r="AE27" s="179">
        <v>7</v>
      </c>
      <c r="AF27" s="201">
        <v>48</v>
      </c>
      <c r="AG27" s="193">
        <v>44</v>
      </c>
      <c r="AH27" s="193">
        <v>0</v>
      </c>
      <c r="AI27" s="193">
        <v>0</v>
      </c>
      <c r="AJ27" s="193">
        <v>4</v>
      </c>
      <c r="AK27" s="202">
        <v>4</v>
      </c>
      <c r="AL27" s="183">
        <f t="shared" si="1"/>
        <v>5</v>
      </c>
      <c r="AM27" s="183">
        <v>1</v>
      </c>
      <c r="AN27" s="183">
        <v>2</v>
      </c>
      <c r="AO27" s="183">
        <v>1</v>
      </c>
      <c r="AP27" s="183"/>
      <c r="AQ27" s="184">
        <v>1</v>
      </c>
      <c r="AR27" s="18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ht="15.75" x14ac:dyDescent="0.2">
      <c r="A28" s="194" t="s">
        <v>214</v>
      </c>
      <c r="B28" s="15">
        <v>38.799999999999997</v>
      </c>
      <c r="C28" s="15">
        <v>39.89</v>
      </c>
      <c r="D28" s="15">
        <v>45.181170000000002</v>
      </c>
      <c r="E28" s="15">
        <v>47.801679999999998</v>
      </c>
      <c r="F28" s="15">
        <v>49.618139999999997</v>
      </c>
      <c r="G28" s="17">
        <v>51.305160000000001</v>
      </c>
      <c r="H28" s="62">
        <v>117.84775</v>
      </c>
      <c r="I28" s="62">
        <v>122.4</v>
      </c>
      <c r="J28" s="62">
        <v>133.30000000000001</v>
      </c>
      <c r="K28" s="62">
        <v>141.19999999999999</v>
      </c>
      <c r="L28" s="62">
        <v>146.9</v>
      </c>
      <c r="M28" s="66">
        <v>152.80000000000001</v>
      </c>
      <c r="N28" s="62">
        <v>280.8</v>
      </c>
      <c r="O28" s="62">
        <v>265</v>
      </c>
      <c r="P28" s="61">
        <v>268</v>
      </c>
      <c r="Q28" s="61">
        <v>268</v>
      </c>
      <c r="R28" s="61">
        <v>268</v>
      </c>
      <c r="S28" s="196">
        <v>268</v>
      </c>
      <c r="T28" s="176">
        <v>110</v>
      </c>
      <c r="U28" s="179">
        <v>90</v>
      </c>
      <c r="V28" s="182">
        <v>0</v>
      </c>
      <c r="W28" s="178">
        <v>0</v>
      </c>
      <c r="X28" s="197">
        <f t="shared" si="0"/>
        <v>26</v>
      </c>
      <c r="Y28" s="174">
        <v>1</v>
      </c>
      <c r="Z28" s="175">
        <v>4</v>
      </c>
      <c r="AA28" s="175">
        <v>3</v>
      </c>
      <c r="AB28" s="177">
        <v>2</v>
      </c>
      <c r="AC28" s="177">
        <v>5</v>
      </c>
      <c r="AD28" s="177">
        <v>2</v>
      </c>
      <c r="AE28" s="179">
        <v>9</v>
      </c>
      <c r="AF28" s="201">
        <v>67</v>
      </c>
      <c r="AG28" s="193">
        <v>66</v>
      </c>
      <c r="AH28" s="193">
        <v>0</v>
      </c>
      <c r="AI28" s="193">
        <v>0</v>
      </c>
      <c r="AJ28" s="193">
        <v>6</v>
      </c>
      <c r="AK28" s="202">
        <v>6</v>
      </c>
      <c r="AL28" s="183">
        <f t="shared" si="1"/>
        <v>8</v>
      </c>
      <c r="AM28" s="183">
        <v>2</v>
      </c>
      <c r="AN28" s="183">
        <v>3</v>
      </c>
      <c r="AO28" s="183">
        <v>1</v>
      </c>
      <c r="AP28" s="183"/>
      <c r="AQ28" s="184">
        <v>1</v>
      </c>
      <c r="AR28" s="183">
        <v>1</v>
      </c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ht="15.75" x14ac:dyDescent="0.2">
      <c r="A29" s="194" t="s">
        <v>232</v>
      </c>
      <c r="B29" s="15">
        <v>119.2</v>
      </c>
      <c r="C29" s="15">
        <v>120.298</v>
      </c>
      <c r="D29" s="15">
        <v>138.93209999999999</v>
      </c>
      <c r="E29" s="15">
        <v>146.99016</v>
      </c>
      <c r="F29" s="15">
        <v>152.57579000000001</v>
      </c>
      <c r="G29" s="17">
        <v>157.76337000000001</v>
      </c>
      <c r="H29" s="62">
        <v>37.274730000000005</v>
      </c>
      <c r="I29" s="62">
        <v>34.9</v>
      </c>
      <c r="J29" s="62">
        <v>37.200000000000003</v>
      </c>
      <c r="K29" s="62">
        <v>39.299999999999997</v>
      </c>
      <c r="L29" s="62">
        <v>40.9</v>
      </c>
      <c r="M29" s="66">
        <v>42.6</v>
      </c>
      <c r="N29" s="62">
        <v>93.7</v>
      </c>
      <c r="O29" s="62">
        <v>70.900000000000006</v>
      </c>
      <c r="P29" s="61">
        <v>74.2</v>
      </c>
      <c r="Q29" s="61">
        <v>73.900000000000006</v>
      </c>
      <c r="R29" s="61">
        <v>73.900000000000006</v>
      </c>
      <c r="S29" s="196">
        <v>73.900000000000006</v>
      </c>
      <c r="T29" s="176">
        <v>18</v>
      </c>
      <c r="U29" s="179">
        <v>18</v>
      </c>
      <c r="V29" s="182">
        <v>0</v>
      </c>
      <c r="W29" s="178">
        <v>0</v>
      </c>
      <c r="X29" s="197">
        <f t="shared" si="0"/>
        <v>16</v>
      </c>
      <c r="Y29" s="174">
        <v>1</v>
      </c>
      <c r="Z29" s="175">
        <v>4</v>
      </c>
      <c r="AA29" s="175">
        <v>1</v>
      </c>
      <c r="AB29" s="177">
        <v>0</v>
      </c>
      <c r="AC29" s="177">
        <v>5</v>
      </c>
      <c r="AD29" s="177">
        <v>0</v>
      </c>
      <c r="AE29" s="179">
        <v>5</v>
      </c>
      <c r="AF29" s="201">
        <v>11</v>
      </c>
      <c r="AG29" s="193">
        <v>12</v>
      </c>
      <c r="AH29" s="193">
        <v>0</v>
      </c>
      <c r="AI29" s="193">
        <v>0</v>
      </c>
      <c r="AJ29" s="193">
        <v>7</v>
      </c>
      <c r="AK29" s="202">
        <v>7</v>
      </c>
      <c r="AL29" s="183">
        <f t="shared" si="1"/>
        <v>3</v>
      </c>
      <c r="AM29" s="183">
        <v>1</v>
      </c>
      <c r="AN29" s="183">
        <v>1</v>
      </c>
      <c r="AO29" s="183"/>
      <c r="AP29" s="183"/>
      <c r="AQ29" s="184">
        <v>1</v>
      </c>
      <c r="AR29" s="18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ht="15.75" x14ac:dyDescent="0.2">
      <c r="A30" s="194" t="s">
        <v>233</v>
      </c>
      <c r="B30" s="15">
        <v>133.4</v>
      </c>
      <c r="C30" s="15">
        <v>134.47999999999999</v>
      </c>
      <c r="D30" s="15">
        <v>155.47638000000001</v>
      </c>
      <c r="E30" s="15">
        <v>164.49401</v>
      </c>
      <c r="F30" s="15">
        <v>170.74478999999999</v>
      </c>
      <c r="G30" s="17">
        <v>176.55010999999999</v>
      </c>
      <c r="H30" s="62">
        <v>51.552059999999997</v>
      </c>
      <c r="I30" s="62">
        <v>55.9</v>
      </c>
      <c r="J30" s="62">
        <v>59.7</v>
      </c>
      <c r="K30" s="62">
        <v>62.7</v>
      </c>
      <c r="L30" s="62">
        <v>64.599999999999994</v>
      </c>
      <c r="M30" s="66">
        <v>66.7</v>
      </c>
      <c r="N30" s="62">
        <v>118.49000000000001</v>
      </c>
      <c r="O30" s="62">
        <v>118.2</v>
      </c>
      <c r="P30" s="61">
        <v>121.39</v>
      </c>
      <c r="Q30" s="61">
        <v>121.39</v>
      </c>
      <c r="R30" s="61">
        <v>121.37</v>
      </c>
      <c r="S30" s="196">
        <v>121.37</v>
      </c>
      <c r="T30" s="176">
        <v>45</v>
      </c>
      <c r="U30" s="179">
        <v>35</v>
      </c>
      <c r="V30" s="182">
        <v>0</v>
      </c>
      <c r="W30" s="178">
        <v>0</v>
      </c>
      <c r="X30" s="197">
        <f t="shared" si="0"/>
        <v>13</v>
      </c>
      <c r="Y30" s="174">
        <v>1</v>
      </c>
      <c r="Z30" s="175">
        <v>0</v>
      </c>
      <c r="AA30" s="175">
        <v>1</v>
      </c>
      <c r="AB30" s="177">
        <v>0</v>
      </c>
      <c r="AC30" s="177">
        <v>6</v>
      </c>
      <c r="AD30" s="177">
        <v>0</v>
      </c>
      <c r="AE30" s="179">
        <v>5</v>
      </c>
      <c r="AF30" s="201">
        <v>16</v>
      </c>
      <c r="AG30" s="193">
        <v>18</v>
      </c>
      <c r="AH30" s="193">
        <v>0</v>
      </c>
      <c r="AI30" s="193">
        <v>0</v>
      </c>
      <c r="AJ30" s="193">
        <v>4</v>
      </c>
      <c r="AK30" s="202">
        <v>3</v>
      </c>
      <c r="AL30" s="183">
        <f t="shared" si="1"/>
        <v>3</v>
      </c>
      <c r="AM30" s="183">
        <v>1</v>
      </c>
      <c r="AN30" s="183">
        <v>1</v>
      </c>
      <c r="AO30" s="183"/>
      <c r="AP30" s="183"/>
      <c r="AQ30" s="184">
        <v>1</v>
      </c>
      <c r="AR30" s="18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15.75" x14ac:dyDescent="0.2">
      <c r="A31" s="194" t="s">
        <v>234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7">
        <v>0</v>
      </c>
      <c r="H31" s="62">
        <v>0</v>
      </c>
      <c r="I31" s="62"/>
      <c r="J31" s="62"/>
      <c r="K31" s="62"/>
      <c r="L31" s="62"/>
      <c r="M31" s="66"/>
      <c r="N31" s="62">
        <v>0</v>
      </c>
      <c r="O31" s="62"/>
      <c r="P31" s="61"/>
      <c r="Q31" s="61"/>
      <c r="R31" s="61"/>
      <c r="S31" s="196"/>
      <c r="T31" s="176">
        <v>3</v>
      </c>
      <c r="U31" s="179">
        <v>2</v>
      </c>
      <c r="V31" s="182">
        <v>0</v>
      </c>
      <c r="W31" s="178">
        <v>0</v>
      </c>
      <c r="X31" s="197">
        <f t="shared" si="0"/>
        <v>0</v>
      </c>
      <c r="Y31" s="174">
        <v>0</v>
      </c>
      <c r="Z31" s="175">
        <v>0</v>
      </c>
      <c r="AA31" s="175">
        <v>0</v>
      </c>
      <c r="AB31" s="177">
        <v>0</v>
      </c>
      <c r="AC31" s="177">
        <v>0</v>
      </c>
      <c r="AD31" s="177">
        <v>0</v>
      </c>
      <c r="AE31" s="179">
        <v>0</v>
      </c>
      <c r="AF31" s="201">
        <v>0</v>
      </c>
      <c r="AG31" s="193">
        <v>0</v>
      </c>
      <c r="AH31" s="193">
        <v>0</v>
      </c>
      <c r="AI31" s="193">
        <v>0</v>
      </c>
      <c r="AJ31" s="193">
        <v>0</v>
      </c>
      <c r="AK31" s="202">
        <v>0</v>
      </c>
      <c r="AL31" s="183">
        <f t="shared" si="1"/>
        <v>0</v>
      </c>
      <c r="AM31" s="183">
        <v>0</v>
      </c>
      <c r="AN31" s="183">
        <v>0</v>
      </c>
      <c r="AO31" s="183"/>
      <c r="AP31" s="183"/>
      <c r="AQ31" s="184">
        <v>0</v>
      </c>
      <c r="AR31" s="18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ht="15.75" x14ac:dyDescent="0.2">
      <c r="A32" s="194" t="s">
        <v>206</v>
      </c>
      <c r="B32" s="15">
        <v>414.8</v>
      </c>
      <c r="C32" s="15">
        <v>153.41</v>
      </c>
      <c r="D32" s="15">
        <v>177.53542999999999</v>
      </c>
      <c r="E32" s="15">
        <v>187.83248</v>
      </c>
      <c r="F32" s="15">
        <v>194.97011000000001</v>
      </c>
      <c r="G32" s="17">
        <v>201.59909999999999</v>
      </c>
      <c r="H32" s="62">
        <v>95.545760000000001</v>
      </c>
      <c r="I32" s="62">
        <v>37.799999999999997</v>
      </c>
      <c r="J32" s="62">
        <v>42.6</v>
      </c>
      <c r="K32" s="62">
        <v>45.1</v>
      </c>
      <c r="L32" s="62">
        <v>46.9</v>
      </c>
      <c r="M32" s="66">
        <v>48.8</v>
      </c>
      <c r="N32" s="62">
        <v>272.31</v>
      </c>
      <c r="O32" s="62">
        <v>79.91</v>
      </c>
      <c r="P32" s="61">
        <v>83.71</v>
      </c>
      <c r="Q32" s="61">
        <v>83.71</v>
      </c>
      <c r="R32" s="61">
        <v>83.71</v>
      </c>
      <c r="S32" s="196">
        <v>83.71</v>
      </c>
      <c r="T32" s="176">
        <v>29</v>
      </c>
      <c r="U32" s="179">
        <v>25</v>
      </c>
      <c r="V32" s="182">
        <v>0</v>
      </c>
      <c r="W32" s="178">
        <v>0</v>
      </c>
      <c r="X32" s="197">
        <f t="shared" si="0"/>
        <v>10</v>
      </c>
      <c r="Y32" s="174">
        <v>1</v>
      </c>
      <c r="Z32" s="175">
        <v>1</v>
      </c>
      <c r="AA32" s="175">
        <v>0</v>
      </c>
      <c r="AB32" s="177">
        <v>0</v>
      </c>
      <c r="AC32" s="177">
        <v>3</v>
      </c>
      <c r="AD32" s="177">
        <v>0</v>
      </c>
      <c r="AE32" s="179">
        <v>5</v>
      </c>
      <c r="AF32" s="201">
        <v>14</v>
      </c>
      <c r="AG32" s="193">
        <v>15</v>
      </c>
      <c r="AH32" s="193">
        <v>0</v>
      </c>
      <c r="AI32" s="193">
        <v>0</v>
      </c>
      <c r="AJ32" s="193">
        <v>3</v>
      </c>
      <c r="AK32" s="202">
        <v>4</v>
      </c>
      <c r="AL32" s="183">
        <f t="shared" si="1"/>
        <v>4</v>
      </c>
      <c r="AM32" s="183">
        <v>1</v>
      </c>
      <c r="AN32" s="183">
        <v>2</v>
      </c>
      <c r="AO32" s="183"/>
      <c r="AP32" s="183"/>
      <c r="AQ32" s="184">
        <v>1</v>
      </c>
      <c r="AR32" s="18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ht="15.75" x14ac:dyDescent="0.2">
      <c r="A33" s="194" t="s">
        <v>211</v>
      </c>
      <c r="B33" s="15">
        <v>13.3</v>
      </c>
      <c r="C33" s="15">
        <v>14.35</v>
      </c>
      <c r="D33" s="15">
        <v>15.40147</v>
      </c>
      <c r="E33" s="15">
        <v>16.294750000000001</v>
      </c>
      <c r="F33" s="15">
        <v>16.91395</v>
      </c>
      <c r="G33" s="17">
        <v>17.48903</v>
      </c>
      <c r="H33" s="62">
        <v>47.702199999999998</v>
      </c>
      <c r="I33" s="62">
        <v>46.8</v>
      </c>
      <c r="J33" s="62">
        <v>50.1</v>
      </c>
      <c r="K33" s="62">
        <v>53.1</v>
      </c>
      <c r="L33" s="62">
        <v>55.2</v>
      </c>
      <c r="M33" s="66">
        <v>57.4</v>
      </c>
      <c r="N33" s="62">
        <v>124.64999999999999</v>
      </c>
      <c r="O33" s="62">
        <v>107.55</v>
      </c>
      <c r="P33" s="61">
        <v>108.55</v>
      </c>
      <c r="Q33" s="61">
        <v>108.05</v>
      </c>
      <c r="R33" s="61">
        <v>108.05</v>
      </c>
      <c r="S33" s="196">
        <v>108.05</v>
      </c>
      <c r="T33" s="176">
        <v>33</v>
      </c>
      <c r="U33" s="179">
        <v>23</v>
      </c>
      <c r="V33" s="182">
        <v>0</v>
      </c>
      <c r="W33" s="178">
        <v>0</v>
      </c>
      <c r="X33" s="197">
        <f t="shared" si="0"/>
        <v>8</v>
      </c>
      <c r="Y33" s="174">
        <v>1</v>
      </c>
      <c r="Z33" s="175">
        <v>0</v>
      </c>
      <c r="AA33" s="175">
        <v>1</v>
      </c>
      <c r="AB33" s="177">
        <v>0</v>
      </c>
      <c r="AC33" s="177">
        <v>1</v>
      </c>
      <c r="AD33" s="177">
        <v>1</v>
      </c>
      <c r="AE33" s="179">
        <v>4</v>
      </c>
      <c r="AF33" s="201">
        <v>15</v>
      </c>
      <c r="AG33" s="193">
        <v>15</v>
      </c>
      <c r="AH33" s="193">
        <v>0</v>
      </c>
      <c r="AI33" s="193">
        <v>0</v>
      </c>
      <c r="AJ33" s="193">
        <v>1</v>
      </c>
      <c r="AK33" s="202">
        <v>1</v>
      </c>
      <c r="AL33" s="183">
        <f t="shared" si="1"/>
        <v>4</v>
      </c>
      <c r="AM33" s="183">
        <v>1</v>
      </c>
      <c r="AN33" s="183">
        <v>1</v>
      </c>
      <c r="AO33" s="183">
        <v>1</v>
      </c>
      <c r="AP33" s="183"/>
      <c r="AQ33" s="184">
        <v>1</v>
      </c>
      <c r="AR33" s="18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15.75" x14ac:dyDescent="0.2">
      <c r="A34" s="194" t="s">
        <v>209</v>
      </c>
      <c r="B34" s="15">
        <v>469.2</v>
      </c>
      <c r="C34" s="15">
        <v>470.29</v>
      </c>
      <c r="D34" s="15">
        <v>547.02437999999995</v>
      </c>
      <c r="E34" s="15">
        <v>578.7518</v>
      </c>
      <c r="F34" s="15">
        <v>600.74436000000003</v>
      </c>
      <c r="G34" s="17">
        <v>621.16967</v>
      </c>
      <c r="H34" s="62">
        <v>44.69323</v>
      </c>
      <c r="I34" s="62">
        <v>95.6</v>
      </c>
      <c r="J34" s="62">
        <v>211.7</v>
      </c>
      <c r="K34" s="62">
        <v>164.8</v>
      </c>
      <c r="L34" s="62">
        <v>56.9</v>
      </c>
      <c r="M34" s="66">
        <v>59.2</v>
      </c>
      <c r="N34" s="62">
        <v>183.49</v>
      </c>
      <c r="O34" s="62">
        <v>222.29</v>
      </c>
      <c r="P34" s="61">
        <v>296.39</v>
      </c>
      <c r="Q34" s="61">
        <v>296.39</v>
      </c>
      <c r="R34" s="61">
        <v>186.39</v>
      </c>
      <c r="S34" s="196">
        <v>186.39</v>
      </c>
      <c r="T34" s="176">
        <v>16</v>
      </c>
      <c r="U34" s="179">
        <v>15</v>
      </c>
      <c r="V34" s="182">
        <v>0</v>
      </c>
      <c r="W34" s="178">
        <v>0</v>
      </c>
      <c r="X34" s="197">
        <f t="shared" si="0"/>
        <v>5</v>
      </c>
      <c r="Y34" s="174">
        <v>0</v>
      </c>
      <c r="Z34" s="175">
        <v>0</v>
      </c>
      <c r="AA34" s="175">
        <v>1</v>
      </c>
      <c r="AB34" s="177">
        <v>0</v>
      </c>
      <c r="AC34" s="177">
        <v>1</v>
      </c>
      <c r="AD34" s="177">
        <v>0</v>
      </c>
      <c r="AE34" s="179">
        <v>3</v>
      </c>
      <c r="AF34" s="201">
        <v>9</v>
      </c>
      <c r="AG34" s="193">
        <v>9</v>
      </c>
      <c r="AH34" s="193">
        <v>0</v>
      </c>
      <c r="AI34" s="193">
        <v>0</v>
      </c>
      <c r="AJ34" s="193">
        <v>1</v>
      </c>
      <c r="AK34" s="202">
        <v>1</v>
      </c>
      <c r="AL34" s="183">
        <f t="shared" si="1"/>
        <v>3</v>
      </c>
      <c r="AM34" s="183">
        <v>1</v>
      </c>
      <c r="AN34" s="183">
        <v>1</v>
      </c>
      <c r="AO34" s="183"/>
      <c r="AP34" s="183"/>
      <c r="AQ34" s="184">
        <v>1</v>
      </c>
      <c r="AR34" s="18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ht="31.5" x14ac:dyDescent="0.2">
      <c r="A35" s="203" t="s">
        <v>235</v>
      </c>
      <c r="B35" s="18"/>
      <c r="C35" s="18"/>
      <c r="D35" s="18"/>
      <c r="E35" s="18"/>
      <c r="F35" s="18"/>
      <c r="G35" s="19"/>
      <c r="H35" s="181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1">
        <v>0</v>
      </c>
      <c r="O35" s="18">
        <v>0</v>
      </c>
      <c r="P35" s="18">
        <v>0</v>
      </c>
      <c r="Q35" s="18">
        <v>0</v>
      </c>
      <c r="R35" s="18">
        <v>0</v>
      </c>
      <c r="S35" s="19">
        <v>0</v>
      </c>
      <c r="T35" s="181">
        <v>0</v>
      </c>
      <c r="U35" s="19">
        <v>0</v>
      </c>
      <c r="V35" s="204">
        <v>0</v>
      </c>
      <c r="W35" s="205">
        <v>0</v>
      </c>
      <c r="X35" s="206">
        <f t="shared" si="0"/>
        <v>3</v>
      </c>
      <c r="Y35" s="181">
        <v>3</v>
      </c>
      <c r="Z35" s="18"/>
      <c r="AA35" s="18"/>
      <c r="AB35" s="18"/>
      <c r="AC35" s="18"/>
      <c r="AD35" s="18"/>
      <c r="AE35" s="19"/>
      <c r="AF35" s="181"/>
      <c r="AG35" s="18"/>
      <c r="AH35" s="18"/>
      <c r="AI35" s="18"/>
      <c r="AJ35" s="18"/>
      <c r="AK35" s="19"/>
      <c r="AL35" s="185">
        <f t="shared" si="1"/>
        <v>1</v>
      </c>
      <c r="AM35" s="185"/>
      <c r="AN35" s="185"/>
      <c r="AO35" s="185"/>
      <c r="AP35" s="185"/>
      <c r="AQ35" s="186"/>
      <c r="AR35" s="185">
        <v>1</v>
      </c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s="69" customFormat="1" ht="31.5" x14ac:dyDescent="0.2">
      <c r="A36" s="195" t="s">
        <v>102</v>
      </c>
      <c r="B36" s="63">
        <f>SUM(B10:B34)</f>
        <v>14378.049999999997</v>
      </c>
      <c r="C36" s="63">
        <f>SUM(C10:C34)</f>
        <v>16438.393039999999</v>
      </c>
      <c r="D36" s="63">
        <f t="shared" ref="D36:G36" si="2">SUM(D10:D34)</f>
        <v>18114.806059999999</v>
      </c>
      <c r="E36" s="63">
        <f t="shared" si="2"/>
        <v>19156.301820000001</v>
      </c>
      <c r="F36" s="63">
        <f t="shared" si="2"/>
        <v>19880.164399999991</v>
      </c>
      <c r="G36" s="63">
        <f t="shared" si="2"/>
        <v>20560.409370000008</v>
      </c>
      <c r="H36" s="63">
        <f>SUM(H10:H35)</f>
        <v>7522.7236999999986</v>
      </c>
      <c r="I36" s="63">
        <f t="shared" ref="I36:M36" si="3">SUM(I10:I34)</f>
        <v>7864.33</v>
      </c>
      <c r="J36" s="63">
        <f t="shared" si="3"/>
        <v>8301.2000000000007</v>
      </c>
      <c r="K36" s="63">
        <f t="shared" si="3"/>
        <v>8678.619999999999</v>
      </c>
      <c r="L36" s="63">
        <f t="shared" si="3"/>
        <v>8869.5899999999983</v>
      </c>
      <c r="M36" s="63">
        <f t="shared" si="3"/>
        <v>9208.2080000000005</v>
      </c>
      <c r="N36" s="63">
        <f>SUM(N10:N34)</f>
        <v>12175.199999999999</v>
      </c>
      <c r="O36" s="63">
        <f>SUM(O10:O34)</f>
        <v>11888.609999999997</v>
      </c>
      <c r="P36" s="63">
        <f t="shared" ref="P36:S36" si="4">SUM(P10:P34)</f>
        <v>11790.469999999998</v>
      </c>
      <c r="Q36" s="63">
        <f t="shared" si="4"/>
        <v>11837.969999999994</v>
      </c>
      <c r="R36" s="63">
        <f t="shared" si="4"/>
        <v>11727.749999999995</v>
      </c>
      <c r="S36" s="63">
        <f t="shared" si="4"/>
        <v>11727.679999999995</v>
      </c>
      <c r="T36" s="63">
        <f>SUM(T10:T35)</f>
        <v>1350</v>
      </c>
      <c r="U36" s="63">
        <f>SUM(U10:U35)</f>
        <v>1170</v>
      </c>
      <c r="V36" s="65">
        <f>SUM(V10:V35)</f>
        <v>0</v>
      </c>
      <c r="W36" s="64">
        <v>0</v>
      </c>
      <c r="X36" s="187">
        <f>SUM(X10:X35)</f>
        <v>500</v>
      </c>
      <c r="Y36" s="187">
        <f t="shared" ref="Y36:AP36" si="5">SUM(Y10:Y35)</f>
        <v>41</v>
      </c>
      <c r="Z36" s="187">
        <f t="shared" si="5"/>
        <v>30</v>
      </c>
      <c r="AA36" s="187">
        <f t="shared" si="5"/>
        <v>56</v>
      </c>
      <c r="AB36" s="187">
        <f t="shared" si="5"/>
        <v>24</v>
      </c>
      <c r="AC36" s="187">
        <f t="shared" si="5"/>
        <v>90</v>
      </c>
      <c r="AD36" s="187">
        <f t="shared" si="5"/>
        <v>58</v>
      </c>
      <c r="AE36" s="187">
        <f t="shared" si="5"/>
        <v>201</v>
      </c>
      <c r="AF36" s="187">
        <f t="shared" si="5"/>
        <v>760</v>
      </c>
      <c r="AG36" s="187">
        <f t="shared" si="5"/>
        <v>772</v>
      </c>
      <c r="AH36" s="187">
        <f t="shared" si="5"/>
        <v>17</v>
      </c>
      <c r="AI36" s="187">
        <f t="shared" si="5"/>
        <v>17</v>
      </c>
      <c r="AJ36" s="187">
        <f t="shared" si="5"/>
        <v>180</v>
      </c>
      <c r="AK36" s="187">
        <f t="shared" si="5"/>
        <v>179</v>
      </c>
      <c r="AL36" s="187">
        <f t="shared" si="5"/>
        <v>114</v>
      </c>
      <c r="AM36" s="187">
        <f t="shared" si="5"/>
        <v>27</v>
      </c>
      <c r="AN36" s="187">
        <f t="shared" si="5"/>
        <v>41</v>
      </c>
      <c r="AO36" s="187">
        <f t="shared" si="5"/>
        <v>6</v>
      </c>
      <c r="AP36" s="187">
        <f t="shared" si="5"/>
        <v>2</v>
      </c>
      <c r="AQ36" s="188">
        <f>SUM(AQ10:AQ35)</f>
        <v>27</v>
      </c>
      <c r="AR36" s="187">
        <f>SUM(AR10:AR35)</f>
        <v>11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</row>
    <row r="37" spans="1:5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1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7"/>
      <c r="O39" s="67"/>
      <c r="P39" s="67"/>
      <c r="Q39" s="67"/>
      <c r="R39" s="67"/>
      <c r="S39" s="67"/>
      <c r="T39" s="67"/>
      <c r="U39" s="13"/>
      <c r="V39" s="13"/>
      <c r="W39" s="13"/>
      <c r="X39" s="172" t="s">
        <v>237</v>
      </c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171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15" x14ac:dyDescent="0.2">
      <c r="A40" s="172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71"/>
      <c r="N40" s="70"/>
      <c r="O40" s="13"/>
      <c r="P40" s="13"/>
      <c r="Q40" s="13"/>
      <c r="R40" s="13"/>
      <c r="S40" s="13"/>
      <c r="T40" s="13"/>
      <c r="U40" s="13"/>
      <c r="V40" s="13"/>
      <c r="W40" s="13"/>
      <c r="X40" s="172" t="s">
        <v>238</v>
      </c>
      <c r="Y40" s="70"/>
      <c r="Z40" s="70"/>
      <c r="AA40" s="70"/>
      <c r="AB40" s="70"/>
      <c r="AC40" s="70"/>
      <c r="AD40" s="70"/>
      <c r="AE40" s="70"/>
      <c r="AF40" s="171"/>
      <c r="AG40" s="171"/>
      <c r="AH40" s="171"/>
      <c r="AI40" s="171"/>
      <c r="AJ40" s="70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15" x14ac:dyDescent="0.2">
      <c r="A41" s="172"/>
      <c r="B41" s="70"/>
      <c r="C41" s="70"/>
      <c r="D41" s="70"/>
      <c r="E41" s="70"/>
      <c r="F41" s="70"/>
      <c r="G41" s="70"/>
      <c r="H41" s="70"/>
      <c r="I41" s="171"/>
      <c r="J41" s="171"/>
      <c r="K41" s="171"/>
      <c r="L41" s="171"/>
      <c r="M41" s="70"/>
      <c r="N41" s="70"/>
      <c r="O41" s="13"/>
      <c r="P41" s="13"/>
      <c r="Q41" s="13"/>
      <c r="R41" s="13"/>
      <c r="S41" s="13"/>
      <c r="T41" s="13"/>
      <c r="U41" s="13"/>
      <c r="V41" s="13"/>
      <c r="W41" s="13"/>
      <c r="X41" s="172" t="s">
        <v>261</v>
      </c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171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15" x14ac:dyDescent="0.2">
      <c r="A42" s="1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171"/>
      <c r="N42" s="171"/>
      <c r="O42" s="13"/>
      <c r="P42" s="13"/>
      <c r="Q42" s="13"/>
      <c r="R42" s="13"/>
      <c r="S42" s="13"/>
      <c r="T42" s="13"/>
      <c r="U42" s="13"/>
      <c r="V42" s="13"/>
      <c r="W42" s="13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14.25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13"/>
      <c r="P43" s="13"/>
      <c r="Q43" s="13"/>
      <c r="R43" s="13"/>
      <c r="S43" s="13"/>
      <c r="T43" s="13"/>
      <c r="U43" s="13"/>
      <c r="V43" s="13"/>
      <c r="W43" s="13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15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3"/>
      <c r="P44" s="13"/>
      <c r="Q44" s="13"/>
      <c r="R44" s="13"/>
      <c r="S44" s="13"/>
      <c r="T44" s="13"/>
      <c r="U44" s="13"/>
      <c r="V44" s="13"/>
      <c r="W44" s="13"/>
      <c r="X44" s="173" t="s">
        <v>266</v>
      </c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15" x14ac:dyDescent="0.25">
      <c r="A45" s="173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14.25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</row>
    <row r="47" spans="1:55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1:5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</row>
    <row r="52" spans="1:55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</row>
    <row r="57" spans="1:55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</row>
    <row r="58" spans="1:55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</row>
    <row r="59" spans="1:55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</row>
    <row r="61" spans="1:55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1:5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</row>
    <row r="67" spans="1:5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69" spans="1:5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  <row r="71" spans="1:5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2" spans="1:5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</row>
    <row r="73" spans="1:5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</row>
    <row r="75" spans="1:55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</row>
    <row r="76" spans="1:55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1:55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</row>
    <row r="79" spans="1:5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</row>
  </sheetData>
  <mergeCells count="54">
    <mergeCell ref="A6:A9"/>
    <mergeCell ref="B6:G7"/>
    <mergeCell ref="H6:M7"/>
    <mergeCell ref="N6:S7"/>
    <mergeCell ref="T6:U7"/>
    <mergeCell ref="I8:I9"/>
    <mergeCell ref="B8:B9"/>
    <mergeCell ref="C8:C9"/>
    <mergeCell ref="D8:D9"/>
    <mergeCell ref="E8:G8"/>
    <mergeCell ref="H8:H9"/>
    <mergeCell ref="J8:J9"/>
    <mergeCell ref="K8:M8"/>
    <mergeCell ref="N8:N9"/>
    <mergeCell ref="O8:O9"/>
    <mergeCell ref="P8:P9"/>
    <mergeCell ref="E1:G1"/>
    <mergeCell ref="A2:W2"/>
    <mergeCell ref="R4:S4"/>
    <mergeCell ref="S5:T5"/>
    <mergeCell ref="AQ5:AR5"/>
    <mergeCell ref="AQ7:AQ9"/>
    <mergeCell ref="AR7:AR9"/>
    <mergeCell ref="AC7:AC9"/>
    <mergeCell ref="AD7:AD9"/>
    <mergeCell ref="AE7:AE9"/>
    <mergeCell ref="AF7:AG7"/>
    <mergeCell ref="AH7:AI7"/>
    <mergeCell ref="AJ7:AK7"/>
    <mergeCell ref="AH8:AH9"/>
    <mergeCell ref="AI8:AI9"/>
    <mergeCell ref="AJ8:AJ9"/>
    <mergeCell ref="AK8:AK9"/>
    <mergeCell ref="AL6:AL9"/>
    <mergeCell ref="AM6:AR6"/>
    <mergeCell ref="AM7:AM9"/>
    <mergeCell ref="AN7:AN9"/>
    <mergeCell ref="AO7:AO9"/>
    <mergeCell ref="AP7:AP9"/>
    <mergeCell ref="V6:W7"/>
    <mergeCell ref="X6:X9"/>
    <mergeCell ref="Y6:AE6"/>
    <mergeCell ref="AF6:AK6"/>
    <mergeCell ref="Y7:Y9"/>
    <mergeCell ref="Z7:Z9"/>
    <mergeCell ref="AA7:AA9"/>
    <mergeCell ref="AB7:AB9"/>
    <mergeCell ref="AG8:AG9"/>
    <mergeCell ref="AF8:AF9"/>
    <mergeCell ref="Q8:S8"/>
    <mergeCell ref="T8:T9"/>
    <mergeCell ref="U8:U9"/>
    <mergeCell ref="V8:V9"/>
    <mergeCell ref="W8:W9"/>
  </mergeCells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3"/>
  <sheetViews>
    <sheetView zoomScaleNormal="100" workbookViewId="0">
      <selection activeCell="H16" sqref="H16"/>
    </sheetView>
  </sheetViews>
  <sheetFormatPr defaultRowHeight="12.75" x14ac:dyDescent="0.2"/>
  <cols>
    <col min="1" max="1" width="5.5703125" customWidth="1"/>
    <col min="2" max="3" width="22.85546875" customWidth="1"/>
    <col min="4" max="4" width="20.5703125" customWidth="1"/>
    <col min="5" max="5" width="11.42578125" customWidth="1"/>
    <col min="6" max="6" width="7.5703125" customWidth="1"/>
    <col min="7" max="7" width="14.7109375" customWidth="1"/>
    <col min="8" max="8" width="16.85546875" customWidth="1"/>
    <col min="9" max="9" width="8.28515625" customWidth="1"/>
    <col min="10" max="10" width="10.140625" customWidth="1"/>
    <col min="11" max="11" width="12.42578125" customWidth="1"/>
    <col min="12" max="12" width="11" customWidth="1"/>
    <col min="13" max="13" width="14.42578125" customWidth="1"/>
    <col min="14" max="14" width="18.7109375" customWidth="1"/>
  </cols>
  <sheetData>
    <row r="1" spans="1:16" ht="25.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39" t="s">
        <v>283</v>
      </c>
      <c r="N1" s="439"/>
      <c r="O1" s="209"/>
      <c r="P1" s="209"/>
    </row>
    <row r="2" spans="1:16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18.75" x14ac:dyDescent="0.2">
      <c r="A3" s="432" t="s">
        <v>274</v>
      </c>
      <c r="B3" s="432"/>
      <c r="C3" s="432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6" ht="15.75" x14ac:dyDescent="0.2">
      <c r="A4" s="59"/>
      <c r="B4" s="59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6" ht="15.75" x14ac:dyDescent="0.2">
      <c r="A5" s="436" t="s">
        <v>71</v>
      </c>
      <c r="B5" s="436" t="s">
        <v>90</v>
      </c>
      <c r="C5" s="436" t="s">
        <v>85</v>
      </c>
      <c r="D5" s="436" t="s">
        <v>86</v>
      </c>
      <c r="E5" s="436" t="s">
        <v>91</v>
      </c>
      <c r="F5" s="436"/>
      <c r="G5" s="436" t="s">
        <v>87</v>
      </c>
      <c r="H5" s="436" t="s">
        <v>88</v>
      </c>
      <c r="I5" s="436" t="s">
        <v>255</v>
      </c>
      <c r="J5" s="436"/>
      <c r="K5" s="436"/>
      <c r="L5" s="436"/>
      <c r="M5" s="436" t="s">
        <v>92</v>
      </c>
      <c r="N5" s="436" t="s">
        <v>89</v>
      </c>
    </row>
    <row r="6" spans="1:16" ht="106.5" customHeight="1" x14ac:dyDescent="0.2">
      <c r="A6" s="436"/>
      <c r="B6" s="436"/>
      <c r="C6" s="436"/>
      <c r="D6" s="436"/>
      <c r="E6" s="436"/>
      <c r="F6" s="436"/>
      <c r="G6" s="436"/>
      <c r="H6" s="436"/>
      <c r="I6" s="212"/>
      <c r="J6" s="212"/>
      <c r="K6" s="212" t="s">
        <v>256</v>
      </c>
      <c r="L6" s="212"/>
      <c r="M6" s="436"/>
      <c r="N6" s="436"/>
    </row>
    <row r="7" spans="1:16" ht="15.75" x14ac:dyDescent="0.2">
      <c r="A7" s="437">
        <v>1</v>
      </c>
      <c r="B7" s="438" t="s">
        <v>284</v>
      </c>
      <c r="C7" s="438" t="s">
        <v>271</v>
      </c>
      <c r="D7" s="438" t="s">
        <v>272</v>
      </c>
      <c r="E7" s="435" t="s">
        <v>273</v>
      </c>
      <c r="F7" s="435"/>
      <c r="G7" s="214">
        <v>35</v>
      </c>
      <c r="H7" s="214"/>
      <c r="I7" s="214"/>
      <c r="J7" s="214"/>
      <c r="K7" s="214"/>
      <c r="L7" s="214"/>
      <c r="M7" s="214"/>
      <c r="N7" s="213"/>
    </row>
    <row r="8" spans="1:16" ht="15.75" x14ac:dyDescent="0.2">
      <c r="A8" s="437"/>
      <c r="B8" s="438"/>
      <c r="C8" s="438"/>
      <c r="D8" s="438"/>
      <c r="E8" s="435">
        <v>2022</v>
      </c>
      <c r="F8" s="435"/>
      <c r="G8" s="183"/>
      <c r="H8" s="214"/>
      <c r="I8" s="213"/>
      <c r="J8" s="213"/>
      <c r="K8" s="214"/>
      <c r="L8" s="214"/>
      <c r="M8" s="213"/>
      <c r="N8" s="214"/>
    </row>
    <row r="9" spans="1:16" ht="15.75" x14ac:dyDescent="0.2">
      <c r="A9" s="437"/>
      <c r="B9" s="438"/>
      <c r="C9" s="438"/>
      <c r="D9" s="438"/>
      <c r="E9" s="435">
        <v>2023</v>
      </c>
      <c r="F9" s="435"/>
      <c r="G9" s="183">
        <v>35</v>
      </c>
      <c r="H9" s="214"/>
      <c r="I9" s="213"/>
      <c r="J9" s="213"/>
      <c r="K9" s="214"/>
      <c r="L9" s="214"/>
      <c r="M9" s="213">
        <v>4.42</v>
      </c>
      <c r="N9" s="214">
        <v>1</v>
      </c>
    </row>
    <row r="10" spans="1:16" ht="15.75" x14ac:dyDescent="0.2">
      <c r="A10" s="437"/>
      <c r="B10" s="438"/>
      <c r="C10" s="438"/>
      <c r="D10" s="438"/>
      <c r="E10" s="435">
        <v>2024</v>
      </c>
      <c r="F10" s="435"/>
      <c r="G10" s="183"/>
      <c r="H10" s="214"/>
      <c r="I10" s="213"/>
      <c r="J10" s="213"/>
      <c r="K10" s="214"/>
      <c r="L10" s="214"/>
      <c r="M10" s="213">
        <v>4.59</v>
      </c>
      <c r="N10" s="214"/>
    </row>
    <row r="11" spans="1:16" ht="15.75" x14ac:dyDescent="0.2">
      <c r="A11" s="437"/>
      <c r="B11" s="438"/>
      <c r="C11" s="438"/>
      <c r="D11" s="438"/>
      <c r="E11" s="435">
        <v>2025</v>
      </c>
      <c r="F11" s="435">
        <v>2013</v>
      </c>
      <c r="G11" s="183"/>
      <c r="H11" s="214"/>
      <c r="I11" s="213"/>
      <c r="J11" s="213"/>
      <c r="K11" s="214"/>
      <c r="L11" s="214"/>
      <c r="M11" s="213">
        <v>4.76</v>
      </c>
      <c r="N11" s="214"/>
    </row>
    <row r="15" spans="1:16" ht="15" x14ac:dyDescent="0.2">
      <c r="B15" s="172" t="s">
        <v>237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71"/>
      <c r="O15" s="70"/>
    </row>
    <row r="16" spans="1:16" ht="15" x14ac:dyDescent="0.2">
      <c r="B16" s="172" t="s">
        <v>238</v>
      </c>
      <c r="C16" s="70"/>
      <c r="D16" s="70"/>
      <c r="E16" s="70"/>
      <c r="F16" s="70"/>
      <c r="G16" s="70"/>
      <c r="H16" s="70"/>
      <c r="I16" s="70"/>
      <c r="J16" s="171"/>
      <c r="K16" s="171"/>
      <c r="L16" s="171"/>
      <c r="M16" s="171"/>
      <c r="N16" s="70"/>
      <c r="O16" s="70"/>
    </row>
    <row r="17" spans="2:15" ht="15" x14ac:dyDescent="0.2">
      <c r="B17" s="172" t="s">
        <v>261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171"/>
      <c r="O17" s="171"/>
    </row>
    <row r="18" spans="2:15" ht="14.25" x14ac:dyDescent="0.2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2:15" ht="14.25" x14ac:dyDescent="0.2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2:15" ht="15" x14ac:dyDescent="0.25">
      <c r="B20" s="173" t="s">
        <v>266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2:15" ht="14.25" x14ac:dyDescent="0.2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2:15" ht="18.75" x14ac:dyDescent="0.3">
      <c r="B22" s="4"/>
      <c r="C22" s="4"/>
      <c r="D22" s="4"/>
      <c r="E22" s="4"/>
      <c r="F22" s="4"/>
      <c r="G22" s="4"/>
      <c r="H22" s="4"/>
      <c r="I22" s="4"/>
      <c r="J22" s="4"/>
      <c r="K22" s="297"/>
    </row>
    <row r="23" spans="2:15" ht="18.75" x14ac:dyDescent="0.3">
      <c r="B23" s="4"/>
      <c r="C23" s="4"/>
      <c r="D23" s="4"/>
      <c r="E23" s="4"/>
      <c r="F23" s="4"/>
      <c r="G23" s="4"/>
      <c r="H23" s="4"/>
      <c r="I23" s="4"/>
      <c r="J23" s="4"/>
      <c r="K23" s="297"/>
    </row>
  </sheetData>
  <mergeCells count="21">
    <mergeCell ref="M1:N1"/>
    <mergeCell ref="A3:N3"/>
    <mergeCell ref="A5:A6"/>
    <mergeCell ref="B5:B6"/>
    <mergeCell ref="C5:C6"/>
    <mergeCell ref="D5:D6"/>
    <mergeCell ref="E5:F6"/>
    <mergeCell ref="G5:G6"/>
    <mergeCell ref="H5:H6"/>
    <mergeCell ref="I5:L5"/>
    <mergeCell ref="E11:F11"/>
    <mergeCell ref="M5:M6"/>
    <mergeCell ref="N5:N6"/>
    <mergeCell ref="A7:A11"/>
    <mergeCell ref="B7:B11"/>
    <mergeCell ref="C7:C11"/>
    <mergeCell ref="D7:D11"/>
    <mergeCell ref="E7:F7"/>
    <mergeCell ref="E8:F8"/>
    <mergeCell ref="E9:F9"/>
    <mergeCell ref="E10:F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ПРОГНОЗ 2022-2025</vt:lpstr>
      <vt:lpstr>Приложение 2</vt:lpstr>
      <vt:lpstr>Приложение 3</vt:lpstr>
      <vt:lpstr>Приложение 5</vt:lpstr>
      <vt:lpstr>Приложение 6</vt:lpstr>
      <vt:lpstr>'Приложение 2'!Область_печати</vt:lpstr>
      <vt:lpstr>'Приложение 3'!Область_печати</vt:lpstr>
      <vt:lpstr>'Приложение 5'!Область_печати</vt:lpstr>
      <vt:lpstr>'ПРОГНОЗ 2022-2025'!Область_печати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2022-07-05T04:02:32Z</cp:lastPrinted>
  <dcterms:created xsi:type="dcterms:W3CDTF">2006-03-06T08:26:24Z</dcterms:created>
  <dcterms:modified xsi:type="dcterms:W3CDTF">2022-07-05T04:04:15Z</dcterms:modified>
</cp:coreProperties>
</file>