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6170" windowHeight="6120" tabRatio="731"/>
  </bookViews>
  <sheets>
    <sheet name="Прогноз 2020" sheetId="1" r:id="rId1"/>
    <sheet name="Приложение 2" sheetId="2" r:id="rId2"/>
    <sheet name="Прил 3 (расчет ИФО) (2)" sheetId="9" r:id="rId3"/>
    <sheet name="Прил 5 Прогноз по поселениям" sheetId="8" r:id="rId4"/>
    <sheet name="Инвестиционные проекты" sheetId="13" r:id="rId5"/>
  </sheets>
  <definedNames>
    <definedName name="_xlnm.Print_Titles" localSheetId="2">'Прил 3 (расчет ИФО) (2)'!$6:$10</definedName>
    <definedName name="_xlnm.Print_Titles" localSheetId="3">'Прил 5 Прогноз по поселениям'!$A:$A,'Прил 5 Прогноз по поселениям'!$6:$9</definedName>
    <definedName name="_xlnm.Print_Titles" localSheetId="1">'Приложение 2'!$4:$7</definedName>
    <definedName name="_xlnm.Print_Titles" localSheetId="0">'Прогноз 2020'!$5:$7</definedName>
    <definedName name="_xlnm.Print_Area" localSheetId="2">'Прил 3 (расчет ИФО) (2)'!$A$4:$U$46</definedName>
    <definedName name="_xlnm.Print_Area" localSheetId="3">'Прил 5 Прогноз по поселениям'!$A$1:$AR$46</definedName>
    <definedName name="_xlnm.Print_Area" localSheetId="1">'Приложение 2'!$A$1:$AL$46</definedName>
    <definedName name="_xlnm.Print_Area" localSheetId="0">'Прогноз 2020'!$A$1:$I$166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G142" i="1" l="1"/>
  <c r="E50" i="1"/>
  <c r="G50" i="1" l="1"/>
  <c r="F50" i="1"/>
  <c r="H50" i="1" s="1"/>
  <c r="I50" i="1" s="1"/>
  <c r="D25" i="1" l="1"/>
  <c r="E25" i="1"/>
  <c r="F25" i="1"/>
  <c r="G25" i="1"/>
  <c r="H25" i="1"/>
  <c r="I25" i="1"/>
  <c r="C25" i="1"/>
  <c r="I43" i="1"/>
  <c r="H43" i="1"/>
  <c r="F43" i="1"/>
  <c r="E43" i="1"/>
  <c r="D43" i="1"/>
  <c r="D38" i="1"/>
  <c r="I35" i="1"/>
  <c r="H35" i="1"/>
  <c r="F35" i="1"/>
  <c r="E35" i="1"/>
  <c r="D35" i="1"/>
  <c r="I32" i="1"/>
  <c r="H32" i="1"/>
  <c r="F32" i="1"/>
  <c r="E32" i="1"/>
  <c r="D32" i="1"/>
  <c r="G32" i="1"/>
  <c r="G46" i="1"/>
  <c r="G138" i="1" l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D76" i="1"/>
  <c r="E76" i="1"/>
  <c r="F76" i="1"/>
  <c r="H76" i="1"/>
  <c r="H74" i="1" s="1"/>
  <c r="I76" i="1"/>
  <c r="I74" i="1"/>
  <c r="D74" i="1"/>
  <c r="E9" i="1"/>
  <c r="F9" i="1"/>
  <c r="G9" i="1"/>
  <c r="H9" i="1"/>
  <c r="I9" i="1"/>
  <c r="D9" i="1"/>
  <c r="D100" i="1"/>
  <c r="E100" i="1"/>
  <c r="F100" i="1"/>
  <c r="H100" i="1"/>
  <c r="I100" i="1"/>
  <c r="C100" i="1"/>
  <c r="D98" i="1"/>
  <c r="E98" i="1"/>
  <c r="F98" i="1"/>
  <c r="H98" i="1"/>
  <c r="I98" i="1"/>
  <c r="E74" i="1"/>
  <c r="C9" i="1"/>
  <c r="C76" i="1"/>
  <c r="C74" i="1" s="1"/>
  <c r="F74" i="1" l="1"/>
  <c r="G74" i="1" s="1"/>
  <c r="G144" i="1"/>
  <c r="G140" i="1"/>
  <c r="G136" i="1"/>
  <c r="G135" i="1"/>
  <c r="G134" i="1"/>
  <c r="G133" i="1"/>
  <c r="G132" i="1"/>
  <c r="G131" i="1"/>
  <c r="G130" i="1"/>
  <c r="G126" i="1"/>
  <c r="G125" i="1"/>
  <c r="G116" i="1"/>
  <c r="G114" i="1"/>
  <c r="G33" i="1"/>
  <c r="G35" i="1"/>
  <c r="G36" i="1"/>
  <c r="G38" i="1"/>
  <c r="G41" i="1"/>
  <c r="G42" i="1"/>
  <c r="G44" i="1"/>
  <c r="G45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70" i="1"/>
  <c r="G71" i="1"/>
  <c r="G12" i="1"/>
  <c r="G13" i="1"/>
  <c r="G14" i="1"/>
  <c r="G15" i="1"/>
  <c r="G16" i="1"/>
  <c r="G17" i="1"/>
  <c r="G18" i="1"/>
  <c r="G19" i="1"/>
  <c r="G20" i="1"/>
  <c r="G21" i="1"/>
  <c r="I38" i="1"/>
  <c r="H38" i="1"/>
  <c r="E38" i="1"/>
  <c r="F38" i="1"/>
  <c r="I21" i="1"/>
  <c r="H21" i="1"/>
  <c r="E21" i="1"/>
  <c r="F21" i="1"/>
  <c r="D21" i="1"/>
  <c r="AA19" i="2" l="1"/>
  <c r="AB19" i="2"/>
  <c r="D145" i="1" l="1"/>
  <c r="H71" i="1" l="1"/>
  <c r="I71" i="1" s="1"/>
  <c r="F71" i="1"/>
  <c r="E71" i="1"/>
  <c r="D45" i="1" l="1"/>
  <c r="E45" i="1"/>
  <c r="F45" i="1"/>
  <c r="H45" i="1"/>
  <c r="I45" i="1"/>
  <c r="G43" i="1"/>
  <c r="D22" i="9"/>
  <c r="E22" i="9"/>
  <c r="F22" i="9"/>
  <c r="G22" i="9"/>
  <c r="H22" i="9"/>
  <c r="J22" i="9"/>
  <c r="K22" i="9"/>
  <c r="Q22" i="9" s="1"/>
  <c r="L22" i="9"/>
  <c r="M22" i="9"/>
  <c r="N22" i="9"/>
  <c r="O22" i="9"/>
  <c r="U22" i="9" s="1"/>
  <c r="S22" i="9"/>
  <c r="T22" i="9" l="1"/>
  <c r="R22" i="9"/>
  <c r="C67" i="1"/>
  <c r="M7" i="13" l="1"/>
  <c r="J7" i="13" l="1"/>
  <c r="I7" i="13"/>
  <c r="H7" i="13"/>
  <c r="M12" i="13"/>
  <c r="K12" i="13"/>
  <c r="H12" i="13"/>
  <c r="G10" i="8" l="1"/>
  <c r="G36" i="8" s="1"/>
  <c r="F10" i="8"/>
  <c r="E10" i="8"/>
  <c r="D10" i="8"/>
  <c r="S36" i="8" l="1"/>
  <c r="R36" i="8"/>
  <c r="Q36" i="8"/>
  <c r="P36" i="8"/>
  <c r="O36" i="8"/>
  <c r="N36" i="8"/>
  <c r="F34" i="8"/>
  <c r="F33" i="8"/>
  <c r="F32" i="8"/>
  <c r="F30" i="8"/>
  <c r="F29" i="8"/>
  <c r="F28" i="8"/>
  <c r="F27" i="8"/>
  <c r="F26" i="8"/>
  <c r="F25" i="8"/>
  <c r="E34" i="8"/>
  <c r="E33" i="8"/>
  <c r="E32" i="8"/>
  <c r="E30" i="8"/>
  <c r="E29" i="8"/>
  <c r="E28" i="8"/>
  <c r="E27" i="8"/>
  <c r="E26" i="8"/>
  <c r="E25" i="8"/>
  <c r="C34" i="8"/>
  <c r="C33" i="8"/>
  <c r="C32" i="8"/>
  <c r="C30" i="8"/>
  <c r="C29" i="8"/>
  <c r="C28" i="8"/>
  <c r="C27" i="8"/>
  <c r="D34" i="8"/>
  <c r="D33" i="8"/>
  <c r="D32" i="8"/>
  <c r="D30" i="8"/>
  <c r="D29" i="8"/>
  <c r="D28" i="8"/>
  <c r="D27" i="8"/>
  <c r="D26" i="8"/>
  <c r="D25" i="8"/>
  <c r="C26" i="8"/>
  <c r="C25" i="8"/>
  <c r="F24" i="8"/>
  <c r="F23" i="8"/>
  <c r="F22" i="8"/>
  <c r="F21" i="8"/>
  <c r="F20" i="8"/>
  <c r="F19" i="8"/>
  <c r="F18" i="8"/>
  <c r="F17" i="8"/>
  <c r="F16" i="8"/>
  <c r="F15" i="8"/>
  <c r="F14" i="8"/>
  <c r="E24" i="8"/>
  <c r="E23" i="8"/>
  <c r="E22" i="8"/>
  <c r="E21" i="8"/>
  <c r="E20" i="8"/>
  <c r="E19" i="8"/>
  <c r="E18" i="8"/>
  <c r="E17" i="8"/>
  <c r="E16" i="8"/>
  <c r="E15" i="8"/>
  <c r="E14" i="8"/>
  <c r="D24" i="8"/>
  <c r="D23" i="8"/>
  <c r="D22" i="8"/>
  <c r="D21" i="8"/>
  <c r="D20" i="8"/>
  <c r="D19" i="8"/>
  <c r="D18" i="8"/>
  <c r="D17" i="8"/>
  <c r="D16" i="8"/>
  <c r="D15" i="8"/>
  <c r="D14" i="8"/>
  <c r="C24" i="8"/>
  <c r="C23" i="8"/>
  <c r="C22" i="8"/>
  <c r="C21" i="8"/>
  <c r="C20" i="8"/>
  <c r="C19" i="8"/>
  <c r="C18" i="8"/>
  <c r="C17" i="8"/>
  <c r="C16" i="8"/>
  <c r="C15" i="8"/>
  <c r="C14" i="8"/>
  <c r="F12" i="8"/>
  <c r="E12" i="8"/>
  <c r="D12" i="8"/>
  <c r="C12" i="8"/>
  <c r="F13" i="8"/>
  <c r="E13" i="8"/>
  <c r="D13" i="8"/>
  <c r="C13" i="8"/>
  <c r="F11" i="8"/>
  <c r="E11" i="8"/>
  <c r="D11" i="8"/>
  <c r="C11" i="8"/>
  <c r="C10" i="8"/>
  <c r="J8" i="2" l="1"/>
  <c r="M36" i="8"/>
  <c r="L36" i="8"/>
  <c r="K36" i="8"/>
  <c r="J36" i="8"/>
  <c r="I36" i="8"/>
  <c r="J38" i="2" l="1"/>
  <c r="D11" i="1"/>
  <c r="D67" i="1" s="1"/>
  <c r="D69" i="1" s="1"/>
  <c r="E143" i="1"/>
  <c r="F143" i="1" l="1"/>
  <c r="E145" i="1"/>
  <c r="AE10" i="8"/>
  <c r="G143" i="1" l="1"/>
  <c r="H143" i="1" s="1"/>
  <c r="H145" i="1" s="1"/>
  <c r="F145" i="1"/>
  <c r="G145" i="1" s="1"/>
  <c r="V36" i="8"/>
  <c r="I143" i="1" l="1"/>
  <c r="I145" i="1" s="1"/>
  <c r="O37" i="2"/>
  <c r="O11" i="2"/>
  <c r="O8" i="2"/>
  <c r="C8" i="2"/>
  <c r="C38" i="2" s="1"/>
  <c r="C11" i="2"/>
  <c r="AA9" i="2"/>
  <c r="AA11" i="2" s="1"/>
  <c r="AA12" i="2"/>
  <c r="AA16" i="2"/>
  <c r="AA17" i="2"/>
  <c r="AA20" i="2"/>
  <c r="AA23" i="2"/>
  <c r="AA24" i="2"/>
  <c r="AA25" i="2"/>
  <c r="AA28" i="2"/>
  <c r="AA29" i="2"/>
  <c r="AA30" i="2"/>
  <c r="AA33" i="2"/>
  <c r="AA34" i="2"/>
  <c r="AA35" i="2"/>
  <c r="AA36" i="2"/>
  <c r="AA37" i="2"/>
  <c r="C145" i="1"/>
  <c r="C53" i="1"/>
  <c r="C55" i="1"/>
  <c r="C40" i="1"/>
  <c r="C11" i="1"/>
  <c r="O38" i="2" l="1"/>
  <c r="D55" i="1"/>
  <c r="E55" i="1"/>
  <c r="F55" i="1"/>
  <c r="H55" i="1"/>
  <c r="I55" i="1"/>
  <c r="D53" i="1"/>
  <c r="E53" i="1"/>
  <c r="F53" i="1"/>
  <c r="H53" i="1"/>
  <c r="I53" i="1"/>
  <c r="AB28" i="2" l="1"/>
  <c r="AC28" i="2"/>
  <c r="AD28" i="2"/>
  <c r="AE28" i="2"/>
  <c r="AF28" i="2"/>
  <c r="AB29" i="2"/>
  <c r="AC29" i="2"/>
  <c r="AD29" i="2"/>
  <c r="AE29" i="2"/>
  <c r="AF29" i="2"/>
  <c r="AD32" i="2"/>
  <c r="AE32" i="2"/>
  <c r="AF32" i="2"/>
  <c r="AC32" i="2"/>
  <c r="I32" i="2"/>
  <c r="I11" i="2"/>
  <c r="AG11" i="2"/>
  <c r="AD15" i="2"/>
  <c r="AE15" i="2"/>
  <c r="AF15" i="2"/>
  <c r="AC15" i="2"/>
  <c r="AB9" i="2"/>
  <c r="AC11" i="2"/>
  <c r="AD11" i="2"/>
  <c r="AE11" i="2"/>
  <c r="AF11" i="2"/>
  <c r="AB12" i="2"/>
  <c r="AC12" i="2"/>
  <c r="AD12" i="2"/>
  <c r="G117" i="1" s="1"/>
  <c r="AE12" i="2"/>
  <c r="AF12" i="2"/>
  <c r="AB16" i="2"/>
  <c r="AC16" i="2"/>
  <c r="AD16" i="2"/>
  <c r="G118" i="1" s="1"/>
  <c r="AE16" i="2"/>
  <c r="AF16" i="2"/>
  <c r="AB17" i="2"/>
  <c r="AC17" i="2"/>
  <c r="AD17" i="2"/>
  <c r="G119" i="1" s="1"/>
  <c r="AE17" i="2"/>
  <c r="AF17" i="2"/>
  <c r="AB20" i="2"/>
  <c r="AC20" i="2"/>
  <c r="AD20" i="2"/>
  <c r="G120" i="1" s="1"/>
  <c r="AE20" i="2"/>
  <c r="AF20" i="2"/>
  <c r="AB23" i="2"/>
  <c r="AC23" i="2"/>
  <c r="AD23" i="2"/>
  <c r="G121" i="1" s="1"/>
  <c r="AE23" i="2"/>
  <c r="AF23" i="2"/>
  <c r="AB24" i="2"/>
  <c r="AC24" i="2"/>
  <c r="AD24" i="2"/>
  <c r="G122" i="1" s="1"/>
  <c r="AE24" i="2"/>
  <c r="AF24" i="2"/>
  <c r="AB25" i="2"/>
  <c r="AC25" i="2"/>
  <c r="AD25" i="2"/>
  <c r="G123" i="1" s="1"/>
  <c r="AE25" i="2"/>
  <c r="AF25" i="2"/>
  <c r="AB30" i="2"/>
  <c r="AC30" i="2"/>
  <c r="AD30" i="2"/>
  <c r="G124" i="1" s="1"/>
  <c r="AE30" i="2"/>
  <c r="AF30" i="2"/>
  <c r="AB33" i="2"/>
  <c r="AC33" i="2"/>
  <c r="AD33" i="2"/>
  <c r="AE33" i="2"/>
  <c r="AF33" i="2"/>
  <c r="AB34" i="2"/>
  <c r="AC34" i="2"/>
  <c r="AD34" i="2"/>
  <c r="G127" i="1" s="1"/>
  <c r="AE34" i="2"/>
  <c r="AF34" i="2"/>
  <c r="AB35" i="2"/>
  <c r="AC35" i="2"/>
  <c r="AD35" i="2"/>
  <c r="G128" i="1" s="1"/>
  <c r="AE35" i="2"/>
  <c r="AF35" i="2"/>
  <c r="AB36" i="2"/>
  <c r="AC36" i="2"/>
  <c r="AD36" i="2"/>
  <c r="G129" i="1" s="1"/>
  <c r="AE36" i="2"/>
  <c r="AF36" i="2"/>
  <c r="AB37" i="2"/>
  <c r="D137" i="1" s="1"/>
  <c r="AC37" i="2"/>
  <c r="E137" i="1" s="1"/>
  <c r="AD37" i="2"/>
  <c r="F137" i="1" s="1"/>
  <c r="G137" i="1" s="1"/>
  <c r="AE37" i="2"/>
  <c r="H137" i="1" s="1"/>
  <c r="AF37" i="2"/>
  <c r="I137" i="1" s="1"/>
  <c r="AG8" i="2"/>
  <c r="AG38" i="2" s="1"/>
  <c r="U8" i="2"/>
  <c r="U38" i="2" s="1"/>
  <c r="AB11" i="2" l="1"/>
  <c r="AA38" i="2"/>
  <c r="E91" i="1" l="1"/>
  <c r="F91" i="1"/>
  <c r="H91" i="1"/>
  <c r="I91" i="1"/>
  <c r="D91" i="1"/>
  <c r="AL11" i="8" l="1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10" i="8"/>
  <c r="C98" i="1" l="1"/>
  <c r="C45" i="1"/>
  <c r="AR36" i="8" l="1"/>
  <c r="AQ36" i="8"/>
  <c r="AP36" i="8"/>
  <c r="AO36" i="8"/>
  <c r="AN36" i="8"/>
  <c r="AM36" i="8"/>
  <c r="AK36" i="8"/>
  <c r="AJ36" i="8"/>
  <c r="AI36" i="8"/>
  <c r="AH36" i="8"/>
  <c r="AG36" i="8"/>
  <c r="AE36" i="8"/>
  <c r="AD36" i="8"/>
  <c r="AC36" i="8"/>
  <c r="AB36" i="8"/>
  <c r="AA36" i="8"/>
  <c r="Z36" i="8"/>
  <c r="Y36" i="8"/>
  <c r="H36" i="8"/>
  <c r="F36" i="8"/>
  <c r="E36" i="8"/>
  <c r="D36" i="8"/>
  <c r="C36" i="8"/>
  <c r="B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AF36" i="8"/>
  <c r="X20" i="8"/>
  <c r="X19" i="8"/>
  <c r="X18" i="8"/>
  <c r="X17" i="8"/>
  <c r="X16" i="8"/>
  <c r="X15" i="8"/>
  <c r="X14" i="8"/>
  <c r="U36" i="8"/>
  <c r="T36" i="8"/>
  <c r="X13" i="8"/>
  <c r="X12" i="8"/>
  <c r="X11" i="8"/>
  <c r="X10" i="8"/>
  <c r="X36" i="8" s="1"/>
  <c r="G8" i="2"/>
  <c r="E8" i="2"/>
  <c r="AL8" i="2"/>
  <c r="AL38" i="2" s="1"/>
  <c r="AK8" i="2"/>
  <c r="AK38" i="2" s="1"/>
  <c r="AI8" i="2"/>
  <c r="AI38" i="2" s="1"/>
  <c r="AH8" i="2"/>
  <c r="AH38" i="2" s="1"/>
  <c r="AA8" i="2"/>
  <c r="Z8" i="2"/>
  <c r="Z38" i="2" s="1"/>
  <c r="Y8" i="2"/>
  <c r="Y38" i="2" s="1"/>
  <c r="X8" i="2"/>
  <c r="X38" i="2" s="1"/>
  <c r="W8" i="2"/>
  <c r="W38" i="2" s="1"/>
  <c r="V8" i="2"/>
  <c r="V38" i="2" s="1"/>
  <c r="T8" i="2"/>
  <c r="T38" i="2" s="1"/>
  <c r="I22" i="1" s="1"/>
  <c r="S8" i="2"/>
  <c r="S38" i="2" s="1"/>
  <c r="H22" i="1" s="1"/>
  <c r="R8" i="2"/>
  <c r="R38" i="2" s="1"/>
  <c r="F22" i="1" s="1"/>
  <c r="G22" i="1" s="1"/>
  <c r="Q8" i="2"/>
  <c r="Q38" i="2" s="1"/>
  <c r="E22" i="1" s="1"/>
  <c r="P8" i="2"/>
  <c r="P38" i="2" s="1"/>
  <c r="D22" i="1" s="1"/>
  <c r="N8" i="2"/>
  <c r="M8" i="2"/>
  <c r="L8" i="2"/>
  <c r="K8" i="2"/>
  <c r="I8" i="2"/>
  <c r="I38" i="2" s="1"/>
  <c r="H8" i="2"/>
  <c r="F8" i="2"/>
  <c r="D8" i="2"/>
  <c r="H38" i="2" l="1"/>
  <c r="M38" i="2"/>
  <c r="H11" i="1"/>
  <c r="N38" i="2"/>
  <c r="I11" i="1"/>
  <c r="E38" i="2"/>
  <c r="D38" i="2"/>
  <c r="K38" i="2"/>
  <c r="E11" i="1"/>
  <c r="G38" i="2"/>
  <c r="F38" i="2"/>
  <c r="L38" i="2"/>
  <c r="F11" i="1"/>
  <c r="G11" i="1" s="1"/>
  <c r="AB38" i="2"/>
  <c r="AE38" i="2"/>
  <c r="AC38" i="2"/>
  <c r="AF38" i="2"/>
  <c r="AL36" i="8"/>
  <c r="AJ8" i="2"/>
  <c r="AJ38" i="2" s="1"/>
  <c r="AB8" i="2"/>
  <c r="AF8" i="2"/>
  <c r="AC8" i="2"/>
  <c r="AE8" i="2"/>
  <c r="AD38" i="2" l="1"/>
  <c r="G113" i="1" s="1"/>
  <c r="AD8" i="2"/>
  <c r="G115" i="1" s="1"/>
  <c r="C43" i="1" l="1"/>
  <c r="C69" i="1" l="1"/>
  <c r="E67" i="1" l="1"/>
  <c r="E69" i="1" s="1"/>
  <c r="F67" i="1"/>
  <c r="H67" i="1"/>
  <c r="H69" i="1" s="1"/>
  <c r="I67" i="1"/>
  <c r="I69" i="1" s="1"/>
  <c r="F69" i="1" l="1"/>
  <c r="G69" i="1" s="1"/>
  <c r="G67" i="1"/>
  <c r="O34" i="9"/>
  <c r="O35" i="9"/>
  <c r="O36" i="9"/>
  <c r="O37" i="9"/>
  <c r="O38" i="9"/>
  <c r="O33" i="9"/>
  <c r="N34" i="9"/>
  <c r="N35" i="9"/>
  <c r="N36" i="9"/>
  <c r="N37" i="9"/>
  <c r="N38" i="9"/>
  <c r="N33" i="9"/>
  <c r="M34" i="9"/>
  <c r="M35" i="9"/>
  <c r="M36" i="9"/>
  <c r="M37" i="9"/>
  <c r="M38" i="9"/>
  <c r="M33" i="9"/>
  <c r="L34" i="9"/>
  <c r="L35" i="9"/>
  <c r="L36" i="9"/>
  <c r="L37" i="9"/>
  <c r="L38" i="9"/>
  <c r="L33" i="9"/>
  <c r="K34" i="9"/>
  <c r="K35" i="9"/>
  <c r="K36" i="9"/>
  <c r="K37" i="9"/>
  <c r="K38" i="9"/>
  <c r="K33" i="9"/>
  <c r="J34" i="9"/>
  <c r="J35" i="9"/>
  <c r="J36" i="9"/>
  <c r="J37" i="9"/>
  <c r="J38" i="9"/>
  <c r="J33" i="9"/>
  <c r="O26" i="9"/>
  <c r="O25" i="9"/>
  <c r="N26" i="9"/>
  <c r="N25" i="9"/>
  <c r="M26" i="9"/>
  <c r="M25" i="9"/>
  <c r="L26" i="9"/>
  <c r="L25" i="9"/>
  <c r="K26" i="9"/>
  <c r="K25" i="9"/>
  <c r="J26" i="9"/>
  <c r="J25" i="9"/>
  <c r="O21" i="9"/>
  <c r="O20" i="9"/>
  <c r="N21" i="9"/>
  <c r="N20" i="9"/>
  <c r="M21" i="9"/>
  <c r="M20" i="9"/>
  <c r="L21" i="9"/>
  <c r="L20" i="9"/>
  <c r="K21" i="9"/>
  <c r="K20" i="9"/>
  <c r="J21" i="9"/>
  <c r="J20" i="9"/>
  <c r="L17" i="9"/>
  <c r="L15" i="9"/>
  <c r="L14" i="9"/>
  <c r="K15" i="9"/>
  <c r="K16" i="9"/>
  <c r="L16" i="9"/>
  <c r="K17" i="9"/>
  <c r="K14" i="9"/>
  <c r="Q26" i="9" l="1"/>
  <c r="L23" i="9"/>
  <c r="K23" i="9"/>
  <c r="R14" i="9"/>
  <c r="S26" i="9"/>
  <c r="U26" i="9"/>
  <c r="Q20" i="9"/>
  <c r="Q21" i="9"/>
  <c r="R26" i="9"/>
  <c r="T26" i="9"/>
  <c r="R17" i="9"/>
  <c r="N17" i="9"/>
  <c r="T21" i="9"/>
  <c r="R16" i="9"/>
  <c r="R15" i="9"/>
  <c r="R20" i="9"/>
  <c r="R21" i="9"/>
  <c r="U21" i="9"/>
  <c r="Q25" i="9"/>
  <c r="R25" i="9"/>
  <c r="S25" i="9"/>
  <c r="T25" i="9"/>
  <c r="U25" i="9"/>
  <c r="O17" i="9"/>
  <c r="N16" i="9"/>
  <c r="M16" i="9"/>
  <c r="S16" i="9" s="1"/>
  <c r="S20" i="9"/>
  <c r="S21" i="9"/>
  <c r="U20" i="9"/>
  <c r="T20" i="9"/>
  <c r="Q33" i="9"/>
  <c r="Q37" i="9"/>
  <c r="Q35" i="9"/>
  <c r="R33" i="9"/>
  <c r="R37" i="9"/>
  <c r="R35" i="9"/>
  <c r="S33" i="9"/>
  <c r="S37" i="9"/>
  <c r="S35" i="9"/>
  <c r="T33" i="9"/>
  <c r="T37" i="9"/>
  <c r="T35" i="9"/>
  <c r="U33" i="9"/>
  <c r="U37" i="9"/>
  <c r="U35" i="9"/>
  <c r="Q38" i="9"/>
  <c r="Q36" i="9"/>
  <c r="Q34" i="9"/>
  <c r="R38" i="9"/>
  <c r="R36" i="9"/>
  <c r="R34" i="9"/>
  <c r="S38" i="9"/>
  <c r="S36" i="9"/>
  <c r="S34" i="9"/>
  <c r="T38" i="9"/>
  <c r="T36" i="9"/>
  <c r="T34" i="9"/>
  <c r="U38" i="9"/>
  <c r="U36" i="9"/>
  <c r="U34" i="9"/>
  <c r="O16" i="9"/>
  <c r="J15" i="9"/>
  <c r="Q15" i="9" s="1"/>
  <c r="J16" i="9"/>
  <c r="Q16" i="9" s="1"/>
  <c r="J17" i="9"/>
  <c r="Q17" i="9" s="1"/>
  <c r="J14" i="9"/>
  <c r="J23" i="9" s="1"/>
  <c r="T16" i="9" l="1"/>
  <c r="Q14" i="9"/>
  <c r="Q23" i="9"/>
  <c r="M17" i="9"/>
  <c r="S17" i="9" s="1"/>
  <c r="U17" i="9"/>
  <c r="M15" i="9"/>
  <c r="S15" i="9" s="1"/>
  <c r="U16" i="9"/>
  <c r="R23" i="9"/>
  <c r="M14" i="9"/>
  <c r="T17" i="9" l="1"/>
  <c r="S14" i="9"/>
  <c r="M23" i="9"/>
  <c r="S23" i="9" s="1"/>
  <c r="O15" i="9"/>
  <c r="N15" i="9"/>
  <c r="T15" i="9" s="1"/>
  <c r="O14" i="9"/>
  <c r="N14" i="9"/>
  <c r="O23" i="9" l="1"/>
  <c r="T14" i="9"/>
  <c r="N23" i="9"/>
  <c r="T23" i="9" s="1"/>
  <c r="U14" i="9"/>
  <c r="U15" i="9"/>
  <c r="O30" i="9"/>
  <c r="N30" i="9"/>
  <c r="M30" i="9"/>
  <c r="K30" i="9"/>
  <c r="J30" i="9"/>
  <c r="J31" i="9" s="1"/>
  <c r="L30" i="9"/>
  <c r="U23" i="9" l="1"/>
  <c r="L31" i="9"/>
  <c r="R30" i="9"/>
  <c r="K31" i="9"/>
  <c r="Q31" i="9" s="1"/>
  <c r="Q30" i="9"/>
  <c r="N31" i="9"/>
  <c r="T30" i="9"/>
  <c r="M31" i="9"/>
  <c r="S30" i="9"/>
  <c r="O31" i="9"/>
  <c r="U30" i="9"/>
  <c r="K27" i="9"/>
  <c r="U31" i="9" l="1"/>
  <c r="S31" i="9"/>
  <c r="T31" i="9"/>
  <c r="R31" i="9"/>
  <c r="M27" i="9"/>
  <c r="J27" i="9"/>
  <c r="Q27" i="9" s="1"/>
  <c r="N27" i="9"/>
  <c r="L27" i="9"/>
  <c r="R27" i="9" s="1"/>
  <c r="O27" i="9"/>
  <c r="U27" i="9" l="1"/>
  <c r="T27" i="9"/>
  <c r="S27" i="9"/>
  <c r="J39" i="9"/>
  <c r="N39" i="9"/>
  <c r="K39" i="9"/>
  <c r="K28" i="9"/>
  <c r="J28" i="9"/>
  <c r="M39" i="9"/>
  <c r="O39" i="9"/>
  <c r="L39" i="9"/>
  <c r="Q39" i="9" l="1"/>
  <c r="U39" i="9"/>
  <c r="R39" i="9"/>
  <c r="Q28" i="9"/>
  <c r="S39" i="9"/>
  <c r="T39" i="9"/>
  <c r="L28" i="9" l="1"/>
  <c r="R28" i="9" s="1"/>
  <c r="M28" i="9" l="1"/>
  <c r="S28" i="9" s="1"/>
  <c r="N28" i="9" l="1"/>
  <c r="T28" i="9" s="1"/>
  <c r="O28" i="9"/>
  <c r="U28" i="9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G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H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I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</commentList>
</comments>
</file>

<file path=xl/comments2.xml><?xml version="1.0" encoding="utf-8"?>
<comments xmlns="http://schemas.openxmlformats.org/spreadsheetml/2006/main">
  <authors>
    <author>Geliya</author>
  </authors>
  <commentLis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Geliya: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20"/>
            <color indexed="81"/>
            <rFont val="Tahoma"/>
            <family val="2"/>
            <charset val="204"/>
          </rPr>
          <t xml:space="preserve">ООО Орион производит с 20го года пеллеты топливные </t>
        </r>
      </text>
    </comment>
  </commentList>
</comments>
</file>

<file path=xl/sharedStrings.xml><?xml version="1.0" encoding="utf-8"?>
<sst xmlns="http://schemas.openxmlformats.org/spreadsheetml/2006/main" count="650" uniqueCount="289">
  <si>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</si>
  <si>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</si>
  <si>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</si>
  <si>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</si>
  <si>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</si>
  <si>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</si>
  <si>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</si>
  <si>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</si>
  <si>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</si>
  <si>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</si>
  <si>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</si>
  <si>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</si>
  <si>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</si>
  <si>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</si>
  <si>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</si>
  <si>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</si>
  <si>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</si>
  <si>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</si>
  <si>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</si>
  <si>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</si>
  <si>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</si>
  <si>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</si>
  <si>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</si>
  <si>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</si>
  <si>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</si>
  <si>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</si>
  <si>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</si>
  <si>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</si>
  <si>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</si>
  <si>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</si>
  <si>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</si>
  <si>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</si>
  <si>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</si>
  <si>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</si>
  <si>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</si>
  <si>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</si>
  <si>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</si>
  <si>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тыс.шт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</si>
  <si>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</si>
  <si>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</si>
  <si>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</si>
  <si>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</si>
  <si>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</si>
  <si>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</si>
  <si>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</si>
  <si>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</si>
  <si>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</si>
  <si>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</si>
  <si>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</si>
  <si>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</si>
  <si>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</si>
  <si>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</si>
  <si>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</si>
  <si>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</si>
  <si>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</si>
  <si>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</si>
  <si>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</si>
  <si>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</si>
  <si>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</si>
  <si>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</si>
  <si>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</si>
  <si>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</si>
  <si>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</si>
  <si>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</si>
  <si>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</si>
  <si>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</si>
  <si>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</si>
  <si>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</si>
  <si>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</si>
  <si>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</si>
  <si>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</si>
  <si>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</si>
  <si>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</si>
  <si>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</si>
  <si>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</si>
  <si>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</si>
  <si>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</si>
  <si>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</si>
  <si>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</si>
  <si>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</si>
  <si>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</si>
  <si>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</si>
  <si>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</si>
  <si>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</si>
  <si>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</si>
  <si>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</si>
  <si>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</si>
  <si>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</si>
  <si>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</si>
  <si>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</si>
  <si>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</si>
  <si>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</si>
  <si>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</si>
  <si>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ВСЕГО ПО ПРОЕКТУ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</si>
  <si>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</si>
  <si>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</si>
  <si>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</si>
  <si>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</si>
  <si>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</si>
  <si>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</si>
  <si>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</si>
  <si>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</si>
  <si>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</si>
  <si>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</si>
  <si>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</si>
  <si>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</si>
  <si>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</si>
  <si>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</si>
  <si>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</si>
  <si>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</si>
  <si>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</si>
  <si>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</si>
  <si>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</si>
  <si>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</si>
  <si>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</si>
  <si>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</si>
  <si>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</si>
  <si>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</si>
  <si>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</si>
  <si>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</si>
  <si>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</si>
  <si>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</si>
  <si>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</si>
  <si>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</si>
  <si>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</si>
  <si>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</si>
  <si>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</si>
  <si>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</si>
  <si>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</si>
  <si>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</si>
  <si>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</si>
  <si>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</si>
  <si>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</si>
  <si>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</si>
  <si>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</si>
  <si>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</si>
  <si>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</si>
  <si>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</si>
  <si>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</si>
  <si>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</si>
  <si>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</si>
  <si>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t>2019 г.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</si>
  <si>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</si>
  <si>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</si>
  <si>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</si>
  <si>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</si>
  <si>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</si>
  <si>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</si>
  <si>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</si>
  <si>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</si>
  <si>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</si>
  <si>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</si>
  <si>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</si>
  <si>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</si>
  <si>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</si>
  <si>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</si>
  <si>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</si>
  <si>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</si>
  <si>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</si>
  <si>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</si>
  <si>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</si>
  <si>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</si>
  <si>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</si>
  <si>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</si>
  <si>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</si>
  <si>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</si>
  <si>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</si>
  <si>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</si>
  <si>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</si>
  <si>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</si>
  <si>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</si>
  <si>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Обрабатывающие производства, всего (С)</t>
  </si>
  <si>
    <t>Строительство (F)- всего</t>
  </si>
  <si>
    <t>Торговля оптовая и розничная; ремонт автотранспортных средств и мотоциклов (G) 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</si>
  <si>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</si>
  <si>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</si>
  <si>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</si>
  <si>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Производство пищевых продуктов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</si>
  <si>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</si>
  <si>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</si>
  <si>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</si>
  <si>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Полуфабрикаты мясные, мясосодержащие, охлажденные, замороженные,т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</si>
  <si>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</si>
  <si>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</si>
  <si>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Щепа технологическая,Тысяча плотных кубических метров</t>
  </si>
  <si>
    <t>Обеспечение электрической энергией, газом и паром; кондиционирование воздуха (раздел D)</t>
  </si>
  <si>
    <t xml:space="preserve"> Обрабатывающие производства (Раздел  С)</t>
  </si>
  <si>
    <t>Электроэнергия,Гигаватт-час (миллион киловатт-часов)</t>
  </si>
  <si>
    <t>Энергия тепловая, отпущенная котельными,Тысяча гигакалорий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</si>
  <si>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</si>
  <si>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</si>
  <si>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</si>
  <si>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</si>
  <si>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</si>
  <si>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</si>
  <si>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2022 год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</si>
  <si>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</si>
  <si>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</si>
  <si>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</si>
  <si>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</si>
  <si>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</si>
  <si>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</si>
  <si>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</si>
  <si>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</si>
  <si>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Отдельные показатели прогноза развития муниципальных образований поселенческого уровня на 2020-2022 годы*</t>
  </si>
  <si>
    <t>Вывозка древесины</t>
  </si>
  <si>
    <t>Культура и искусство</t>
  </si>
  <si>
    <t>Физическая культура</t>
  </si>
  <si>
    <t>Управление</t>
  </si>
  <si>
    <t xml:space="preserve">х </t>
  </si>
  <si>
    <t>ООО "Братская птицефабрика"</t>
  </si>
  <si>
    <t>Тэмьское</t>
  </si>
  <si>
    <t>ОАО "Группа "Илим" в Братском районе"</t>
  </si>
  <si>
    <t>Озернинское</t>
  </si>
  <si>
    <t>Шумиловское</t>
  </si>
  <si>
    <t>Вихоревское</t>
  </si>
  <si>
    <t>Харанжинское</t>
  </si>
  <si>
    <t>Покоснинское</t>
  </si>
  <si>
    <t>Кежемское</t>
  </si>
  <si>
    <t>Тангуйское</t>
  </si>
  <si>
    <t>МУП "ЦРА 166"</t>
  </si>
  <si>
    <t>Транспортровка и хранение</t>
  </si>
  <si>
    <t>Малый бизне всего</t>
  </si>
  <si>
    <t>Большеокинское</t>
  </si>
  <si>
    <t>Добчурское</t>
  </si>
  <si>
    <t>Зябинское</t>
  </si>
  <si>
    <t>Илирское</t>
  </si>
  <si>
    <t>Калтукское</t>
  </si>
  <si>
    <t>Карахунское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</si>
  <si>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</si>
  <si>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</si>
  <si>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</si>
  <si>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</si>
  <si>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</si>
  <si>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</si>
  <si>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Прибойнинское</t>
  </si>
  <si>
    <t>Прибрежнинское</t>
  </si>
  <si>
    <t>Тарминское</t>
  </si>
  <si>
    <t>Турманское</t>
  </si>
  <si>
    <t>Тынкобь</t>
  </si>
  <si>
    <t>территория МО "Братский район"</t>
  </si>
  <si>
    <t>Деятельность по операциям с недвижимым имуществом</t>
  </si>
  <si>
    <t xml:space="preserve">Прочая деятельность </t>
  </si>
  <si>
    <t>Приложение 5</t>
  </si>
  <si>
    <t>Заместитель мэра по экономике и финансам –</t>
  </si>
  <si>
    <t>начальник финансового управления</t>
  </si>
  <si>
    <t>Исп. начальник отдела экономическоко развития АМО "Братский район" Лактионова М.А. 8 (3953) 41-69-92</t>
  </si>
  <si>
    <t>Администрации МО «Братский район»                                                                                                                                            О.М. Зарубина</t>
  </si>
  <si>
    <t xml:space="preserve">Приложение 2 </t>
  </si>
  <si>
    <t xml:space="preserve">Приложение 3 </t>
  </si>
  <si>
    <t>Факт 
2019 года</t>
  </si>
  <si>
    <t>2023 год</t>
  </si>
  <si>
    <t>Факт 
2019 г.</t>
  </si>
  <si>
    <t>2023 г.</t>
  </si>
  <si>
    <t>прочие</t>
  </si>
  <si>
    <t>ООО "Охотничье и рыболовное хозяйство</t>
  </si>
  <si>
    <t>Вихоревка</t>
  </si>
  <si>
    <t>ПАО "Аэропорт Братск"</t>
  </si>
  <si>
    <t>Кобляково</t>
  </si>
  <si>
    <t>МУП "Рута"</t>
  </si>
  <si>
    <t>МУП  "Данко"</t>
  </si>
  <si>
    <t xml:space="preserve">Объем произведенной продукции в сопоставимых ценах </t>
  </si>
  <si>
    <t>Факт 
2020 года</t>
  </si>
  <si>
    <t>Оценка 
2021 года</t>
  </si>
  <si>
    <t>2024 год</t>
  </si>
  <si>
    <t>Факт 
2020 г.</t>
  </si>
  <si>
    <t>Оценка 
2021 г.</t>
  </si>
  <si>
    <t>2024 г.</t>
  </si>
  <si>
    <t>Прогноз на 2022-2024 гг.</t>
  </si>
  <si>
    <t>Оценка 2021 г.</t>
  </si>
  <si>
    <t xml:space="preserve">Сводный перечень инвестиционных проектов, реализация которых предполагается в 2021-2024 гг. 
</t>
  </si>
  <si>
    <t xml:space="preserve">с. Кузнецовка, Братский район </t>
  </si>
  <si>
    <t>строительство производственного комплекса по хранению и переработке зерна, производство муки</t>
  </si>
  <si>
    <t xml:space="preserve">Сельскохозяйственный потребительский перерабатывающий кооператив «Буренка» </t>
  </si>
  <si>
    <t>Всего за 2021-2024 гг., 
в т.ч. по годам:</t>
  </si>
  <si>
    <t>г.Вихоревка</t>
  </si>
  <si>
    <t xml:space="preserve">Выпуск продукции в натуральном выражении
(Т)
</t>
  </si>
  <si>
    <t>мука 1 сорт, тыс. т</t>
  </si>
  <si>
    <t>отруби, тыс. т</t>
  </si>
  <si>
    <t>пиломатериал, тыс.м3</t>
  </si>
  <si>
    <t xml:space="preserve">Строительство деревообрабатывающей линии </t>
  </si>
  <si>
    <t>ООО "Охотничье и рыбаловное хозяйство"</t>
  </si>
  <si>
    <t>Прогноз социально-экономического развития муниципального образования "Братский район" на 2021-2024 гг.</t>
  </si>
  <si>
    <t>Гранулы топливные (пеллеты), топливные брикеты из отходов деревопереработки,т</t>
  </si>
  <si>
    <t>Обеспечение электрической энергией, газом и паром; кондиционирование воздуха (D)</t>
  </si>
  <si>
    <t>Водоснабжение; водоотведение, организация сбора и утилизации отходов, деятельность по ликвидации загрязнений  (Е)</t>
  </si>
  <si>
    <t>ООО "Объединенная вихоревская управляющая компания"</t>
  </si>
  <si>
    <r>
      <t>Основные сведения 
о градообразующем предприятии
(</t>
    </r>
    <r>
      <rPr>
        <b/>
        <sz val="12"/>
        <rFont val="Times New Roman"/>
        <family val="1"/>
        <charset val="204"/>
      </rPr>
      <t>КРИТЕРИИ</t>
    </r>
    <r>
      <rPr>
        <sz val="12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</si>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</sst>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0.0"/>
    <numFmt numFmtId="166" formatCode="#,##0.0"/>
    <numFmt numFmtId="167" formatCode="#,##0.00_ ;\-#,##0.00\ 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65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b/>
      <sz val="2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4"/>
      <color rgb="FF7030A0"/>
      <name val="Times New Roman"/>
      <family val="1"/>
    </font>
    <font>
      <i/>
      <sz val="14"/>
      <name val="Times New Roman"/>
      <family val="1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2">
    <xf numFmtId="0" fontId="0" fillId="0" borderId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2" fillId="10" borderId="42" applyNumberFormat="0" applyAlignment="0" applyProtection="0"/>
    <xf numFmtId="0" fontId="43" fillId="17" borderId="43" applyNumberFormat="0" applyAlignment="0" applyProtection="0"/>
    <xf numFmtId="0" fontId="44" fillId="17" borderId="42" applyNumberFormat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7" applyNumberFormat="0" applyFill="0" applyAlignment="0" applyProtection="0"/>
    <xf numFmtId="0" fontId="49" fillId="18" borderId="48" applyNumberFormat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32" fillId="20" borderId="49" applyNumberFormat="0" applyFont="0" applyAlignment="0" applyProtection="0"/>
    <xf numFmtId="0" fontId="32" fillId="20" borderId="49" applyNumberFormat="0" applyFont="0" applyAlignment="0" applyProtection="0"/>
    <xf numFmtId="9" fontId="32" fillId="0" borderId="0" applyFont="0" applyFill="0" applyBorder="0" applyAlignment="0" applyProtection="0"/>
    <xf numFmtId="0" fontId="54" fillId="0" borderId="50" applyNumberFormat="0" applyFill="0" applyAlignment="0" applyProtection="0"/>
    <xf numFmtId="0" fontId="55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41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/>
    <xf numFmtId="0" fontId="17" fillId="0" borderId="0" xfId="0" applyFont="1" applyFill="1"/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6" xfId="0" applyBorder="1"/>
    <xf numFmtId="0" fontId="27" fillId="0" borderId="0" xfId="0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/>
    <xf numFmtId="166" fontId="28" fillId="0" borderId="23" xfId="0" applyNumberFormat="1" applyFont="1" applyFill="1" applyBorder="1" applyAlignment="1">
      <alignment horizontal="center" vertical="center"/>
    </xf>
    <xf numFmtId="4" fontId="0" fillId="0" borderId="0" xfId="0" applyNumberFormat="1"/>
    <xf numFmtId="167" fontId="25" fillId="6" borderId="3" xfId="1" applyNumberFormat="1" applyFont="1" applyFill="1" applyBorder="1" applyAlignment="1">
      <alignment horizontal="center" vertical="center" wrapText="1"/>
    </xf>
    <xf numFmtId="4" fontId="25" fillId="6" borderId="3" xfId="0" applyNumberFormat="1" applyFont="1" applyFill="1" applyBorder="1" applyAlignment="1">
      <alignment horizontal="center" vertical="center" wrapText="1"/>
    </xf>
    <xf numFmtId="167" fontId="25" fillId="6" borderId="28" xfId="1" applyNumberFormat="1" applyFont="1" applyFill="1" applyBorder="1" applyAlignment="1">
      <alignment horizontal="center" vertical="center" wrapText="1"/>
    </xf>
    <xf numFmtId="4" fontId="25" fillId="6" borderId="28" xfId="0" applyNumberFormat="1" applyFont="1" applyFill="1" applyBorder="1" applyAlignment="1">
      <alignment horizontal="center" vertical="center" wrapText="1"/>
    </xf>
    <xf numFmtId="4" fontId="25" fillId="6" borderId="24" xfId="0" applyNumberFormat="1" applyFont="1" applyFill="1" applyBorder="1" applyAlignment="1">
      <alignment horizontal="center" vertical="center" wrapText="1"/>
    </xf>
    <xf numFmtId="4" fontId="25" fillId="6" borderId="3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5" fillId="0" borderId="0" xfId="0" applyFont="1"/>
    <xf numFmtId="0" fontId="25" fillId="4" borderId="9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166" fontId="25" fillId="7" borderId="3" xfId="0" applyNumberFormat="1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166" fontId="25" fillId="7" borderId="24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166" fontId="25" fillId="7" borderId="4" xfId="0" applyNumberFormat="1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166" fontId="25" fillId="7" borderId="11" xfId="0" applyNumberFormat="1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6" fontId="25" fillId="7" borderId="2" xfId="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166" fontId="33" fillId="0" borderId="3" xfId="0" applyNumberFormat="1" applyFont="1" applyBorder="1" applyAlignment="1">
      <alignment horizontal="center" vertical="center" wrapText="1"/>
    </xf>
    <xf numFmtId="166" fontId="33" fillId="2" borderId="3" xfId="0" applyNumberFormat="1" applyFont="1" applyFill="1" applyBorder="1" applyAlignment="1">
      <alignment horizontal="center" vertical="center" wrapText="1"/>
    </xf>
    <xf numFmtId="166" fontId="25" fillId="0" borderId="24" xfId="0" applyNumberFormat="1" applyFont="1" applyBorder="1" applyAlignment="1">
      <alignment horizontal="center" vertical="center" wrapText="1"/>
    </xf>
    <xf numFmtId="166" fontId="33" fillId="0" borderId="24" xfId="0" applyNumberFormat="1" applyFont="1" applyBorder="1" applyAlignment="1">
      <alignment horizontal="center" vertical="center" wrapText="1"/>
    </xf>
    <xf numFmtId="166" fontId="33" fillId="2" borderId="2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33" fillId="0" borderId="4" xfId="0" applyNumberFormat="1" applyFont="1" applyBorder="1" applyAlignment="1">
      <alignment horizontal="center" vertical="center" wrapText="1"/>
    </xf>
    <xf numFmtId="166" fontId="33" fillId="0" borderId="4" xfId="0" applyNumberFormat="1" applyFont="1" applyFill="1" applyBorder="1" applyAlignment="1">
      <alignment horizontal="center" vertical="center" wrapText="1"/>
    </xf>
    <xf numFmtId="166" fontId="33" fillId="2" borderId="4" xfId="0" applyNumberFormat="1" applyFont="1" applyFill="1" applyBorder="1" applyAlignment="1">
      <alignment horizontal="center" vertical="center" wrapText="1"/>
    </xf>
    <xf numFmtId="166" fontId="33" fillId="2" borderId="8" xfId="0" applyNumberFormat="1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6" fontId="33" fillId="7" borderId="11" xfId="0" applyNumberFormat="1" applyFont="1" applyFill="1" applyBorder="1" applyAlignment="1">
      <alignment horizontal="center" vertical="center" wrapText="1"/>
    </xf>
    <xf numFmtId="166" fontId="33" fillId="0" borderId="2" xfId="0" applyNumberFormat="1" applyFont="1" applyBorder="1" applyAlignment="1">
      <alignment horizontal="center" vertical="center" wrapText="1"/>
    </xf>
    <xf numFmtId="166" fontId="33" fillId="2" borderId="2" xfId="0" applyNumberFormat="1" applyFont="1" applyFill="1" applyBorder="1" applyAlignment="1">
      <alignment horizontal="center" vertical="center" wrapText="1"/>
    </xf>
    <xf numFmtId="166" fontId="33" fillId="0" borderId="3" xfId="0" applyNumberFormat="1" applyFont="1" applyFill="1" applyBorder="1" applyAlignment="1">
      <alignment horizontal="center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166" fontId="25" fillId="0" borderId="11" xfId="0" applyNumberFormat="1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 horizontal="center" vertical="center" wrapText="1"/>
    </xf>
    <xf numFmtId="166" fontId="33" fillId="0" borderId="24" xfId="0" applyNumberFormat="1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166" fontId="34" fillId="0" borderId="4" xfId="0" applyNumberFormat="1" applyFont="1" applyFill="1" applyBorder="1" applyAlignment="1">
      <alignment horizontal="center" vertical="center" wrapText="1"/>
    </xf>
    <xf numFmtId="166" fontId="34" fillId="0" borderId="8" xfId="0" applyNumberFormat="1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166" fontId="25" fillId="2" borderId="11" xfId="0" applyNumberFormat="1" applyFont="1" applyFill="1" applyBorder="1" applyAlignment="1">
      <alignment horizontal="center" vertical="center" wrapText="1"/>
    </xf>
    <xf numFmtId="165" fontId="33" fillId="0" borderId="4" xfId="0" applyNumberFormat="1" applyFont="1" applyFill="1" applyBorder="1" applyAlignment="1">
      <alignment horizontal="center" vertical="center" wrapText="1"/>
    </xf>
    <xf numFmtId="166" fontId="25" fillId="2" borderId="4" xfId="0" applyNumberFormat="1" applyFont="1" applyFill="1" applyBorder="1" applyAlignment="1">
      <alignment horizontal="center" vertical="center" wrapText="1"/>
    </xf>
    <xf numFmtId="166" fontId="25" fillId="2" borderId="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166" fontId="33" fillId="2" borderId="28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166" fontId="33" fillId="2" borderId="34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center" wrapText="1"/>
    </xf>
    <xf numFmtId="166" fontId="33" fillId="2" borderId="30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right" vertical="center" wrapText="1"/>
    </xf>
    <xf numFmtId="0" fontId="25" fillId="0" borderId="29" xfId="0" applyFont="1" applyBorder="1" applyAlignment="1">
      <alignment horizontal="right" vertical="center" wrapText="1"/>
    </xf>
    <xf numFmtId="166" fontId="25" fillId="2" borderId="30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166" fontId="25" fillId="2" borderId="4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4" fontId="18" fillId="0" borderId="0" xfId="0" applyNumberFormat="1" applyFont="1"/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25" fillId="6" borderId="2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Fill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6" fillId="0" borderId="0" xfId="0" applyFont="1"/>
    <xf numFmtId="3" fontId="25" fillId="0" borderId="3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" fontId="25" fillId="6" borderId="1" xfId="0" applyNumberFormat="1" applyFont="1" applyFill="1" applyBorder="1" applyAlignment="1">
      <alignment horizontal="center" vertical="center" wrapText="1"/>
    </xf>
    <xf numFmtId="4" fontId="25" fillId="6" borderId="14" xfId="0" applyNumberFormat="1" applyFont="1" applyFill="1" applyBorder="1" applyAlignment="1">
      <alignment horizontal="center" vertical="center" wrapText="1"/>
    </xf>
    <xf numFmtId="4" fontId="25" fillId="6" borderId="16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wrapText="1"/>
    </xf>
    <xf numFmtId="0" fontId="38" fillId="0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 wrapText="1"/>
    </xf>
    <xf numFmtId="4" fontId="8" fillId="6" borderId="1" xfId="29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25" fillId="0" borderId="28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 applyBorder="1"/>
    <xf numFmtId="4" fontId="37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5" xfId="0" applyBorder="1"/>
    <xf numFmtId="0" fontId="57" fillId="0" borderId="0" xfId="0" applyFont="1"/>
    <xf numFmtId="0" fontId="60" fillId="0" borderId="0" xfId="0" applyFont="1" applyAlignment="1">
      <alignment horizontal="right" vertical="center" wrapText="1"/>
    </xf>
    <xf numFmtId="0" fontId="57" fillId="0" borderId="17" xfId="0" applyFont="1" applyBorder="1"/>
    <xf numFmtId="0" fontId="57" fillId="0" borderId="18" xfId="0" applyFont="1" applyBorder="1"/>
    <xf numFmtId="0" fontId="57" fillId="0" borderId="19" xfId="0" applyFont="1" applyBorder="1"/>
    <xf numFmtId="0" fontId="59" fillId="4" borderId="13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9" fillId="4" borderId="7" xfId="0" applyFont="1" applyFill="1" applyBorder="1" applyAlignment="1">
      <alignment vertical="center"/>
    </xf>
    <xf numFmtId="0" fontId="59" fillId="4" borderId="12" xfId="0" applyFont="1" applyFill="1" applyBorder="1" applyAlignment="1">
      <alignment vertical="center"/>
    </xf>
    <xf numFmtId="0" fontId="59" fillId="4" borderId="1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  <xf numFmtId="4" fontId="61" fillId="0" borderId="29" xfId="0" applyNumberFormat="1" applyFont="1" applyFill="1" applyBorder="1" applyAlignment="1">
      <alignment horizontal="center" vertical="center" wrapText="1"/>
    </xf>
    <xf numFmtId="4" fontId="61" fillId="0" borderId="2" xfId="0" applyNumberFormat="1" applyFont="1" applyFill="1" applyBorder="1" applyAlignment="1">
      <alignment horizontal="center" vertical="center" wrapText="1"/>
    </xf>
    <xf numFmtId="4" fontId="61" fillId="0" borderId="25" xfId="0" applyNumberFormat="1" applyFont="1" applyFill="1" applyBorder="1" applyAlignment="1">
      <alignment horizontal="center" vertical="center" wrapText="1"/>
    </xf>
    <xf numFmtId="4" fontId="61" fillId="0" borderId="30" xfId="0" applyNumberFormat="1" applyFont="1" applyFill="1" applyBorder="1" applyAlignment="1">
      <alignment horizontal="center" vertical="center" wrapText="1"/>
    </xf>
    <xf numFmtId="4" fontId="61" fillId="0" borderId="29" xfId="0" applyNumberFormat="1" applyFont="1" applyFill="1" applyBorder="1" applyAlignment="1">
      <alignment horizontal="center" vertical="center"/>
    </xf>
    <xf numFmtId="4" fontId="61" fillId="0" borderId="2" xfId="0" applyNumberFormat="1" applyFont="1" applyFill="1" applyBorder="1" applyAlignment="1">
      <alignment horizontal="center" vertical="center"/>
    </xf>
    <xf numFmtId="4" fontId="61" fillId="0" borderId="30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2" fillId="0" borderId="27" xfId="0" applyFont="1" applyFill="1" applyBorder="1" applyAlignment="1">
      <alignment vertical="center" wrapText="1"/>
    </xf>
    <xf numFmtId="0" fontId="61" fillId="0" borderId="26" xfId="0" applyFont="1" applyFill="1" applyBorder="1" applyAlignment="1">
      <alignment vertical="center" wrapText="1"/>
    </xf>
    <xf numFmtId="4" fontId="62" fillId="0" borderId="27" xfId="0" applyNumberFormat="1" applyFont="1" applyFill="1" applyBorder="1" applyAlignment="1">
      <alignment horizontal="center" vertical="center"/>
    </xf>
    <xf numFmtId="4" fontId="62" fillId="0" borderId="3" xfId="0" applyNumberFormat="1" applyFont="1" applyFill="1" applyBorder="1" applyAlignment="1">
      <alignment horizontal="center" vertical="center"/>
    </xf>
    <xf numFmtId="4" fontId="62" fillId="0" borderId="26" xfId="0" applyNumberFormat="1" applyFont="1" applyFill="1" applyBorder="1" applyAlignment="1">
      <alignment horizontal="center" vertical="center"/>
    </xf>
    <xf numFmtId="4" fontId="62" fillId="0" borderId="28" xfId="0" applyNumberFormat="1" applyFont="1" applyFill="1" applyBorder="1" applyAlignment="1">
      <alignment horizontal="center" vertical="center"/>
    </xf>
    <xf numFmtId="4" fontId="62" fillId="0" borderId="3" xfId="0" applyNumberFormat="1" applyFont="1" applyFill="1" applyBorder="1" applyAlignment="1">
      <alignment horizontal="center" vertical="center" wrapText="1"/>
    </xf>
    <xf numFmtId="4" fontId="62" fillId="0" borderId="28" xfId="0" applyNumberFormat="1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vertical="center" wrapText="1"/>
    </xf>
    <xf numFmtId="4" fontId="63" fillId="0" borderId="27" xfId="0" applyNumberFormat="1" applyFont="1" applyFill="1" applyBorder="1" applyAlignment="1">
      <alignment horizontal="center" vertical="center"/>
    </xf>
    <xf numFmtId="4" fontId="63" fillId="0" borderId="23" xfId="0" applyNumberFormat="1" applyFont="1" applyFill="1" applyBorder="1" applyAlignment="1">
      <alignment horizontal="center" vertical="center"/>
    </xf>
    <xf numFmtId="4" fontId="63" fillId="0" borderId="52" xfId="0" applyNumberFormat="1" applyFont="1" applyFill="1" applyBorder="1" applyAlignment="1">
      <alignment horizontal="center" vertical="center"/>
    </xf>
    <xf numFmtId="4" fontId="63" fillId="0" borderId="3" xfId="0" applyNumberFormat="1" applyFont="1" applyFill="1" applyBorder="1" applyAlignment="1">
      <alignment horizontal="center" vertical="center"/>
    </xf>
    <xf numFmtId="4" fontId="63" fillId="0" borderId="26" xfId="0" applyNumberFormat="1" applyFont="1" applyFill="1" applyBorder="1" applyAlignment="1">
      <alignment horizontal="center" vertical="center"/>
    </xf>
    <xf numFmtId="4" fontId="63" fillId="0" borderId="28" xfId="0" applyNumberFormat="1" applyFont="1" applyFill="1" applyBorder="1" applyAlignment="1">
      <alignment horizontal="center" vertical="center"/>
    </xf>
    <xf numFmtId="4" fontId="63" fillId="0" borderId="3" xfId="0" applyNumberFormat="1" applyFont="1" applyFill="1" applyBorder="1" applyAlignment="1">
      <alignment horizontal="center" vertical="center" wrapText="1"/>
    </xf>
    <xf numFmtId="4" fontId="63" fillId="0" borderId="28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vertical="center" wrapText="1"/>
    </xf>
    <xf numFmtId="4" fontId="61" fillId="0" borderId="27" xfId="0" applyNumberFormat="1" applyFont="1" applyFill="1" applyBorder="1" applyAlignment="1">
      <alignment horizontal="center" vertical="center"/>
    </xf>
    <xf numFmtId="4" fontId="61" fillId="0" borderId="3" xfId="0" applyNumberFormat="1" applyFont="1" applyFill="1" applyBorder="1" applyAlignment="1">
      <alignment horizontal="center" vertical="center"/>
    </xf>
    <xf numFmtId="4" fontId="61" fillId="0" borderId="3" xfId="0" applyNumberFormat="1" applyFont="1" applyFill="1" applyBorder="1" applyAlignment="1">
      <alignment horizontal="center" vertical="center" wrapText="1"/>
    </xf>
    <xf numFmtId="4" fontId="61" fillId="0" borderId="26" xfId="0" applyNumberFormat="1" applyFont="1" applyFill="1" applyBorder="1" applyAlignment="1">
      <alignment horizontal="center" vertical="center" wrapText="1"/>
    </xf>
    <xf numFmtId="4" fontId="61" fillId="0" borderId="28" xfId="0" applyNumberFormat="1" applyFont="1" applyFill="1" applyBorder="1" applyAlignment="1">
      <alignment horizontal="center" vertical="center"/>
    </xf>
    <xf numFmtId="4" fontId="61" fillId="0" borderId="28" xfId="0" applyNumberFormat="1" applyFont="1" applyFill="1" applyBorder="1" applyAlignment="1">
      <alignment horizontal="center" vertical="center" wrapText="1"/>
    </xf>
    <xf numFmtId="4" fontId="61" fillId="0" borderId="26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/>
    <xf numFmtId="4" fontId="64" fillId="0" borderId="27" xfId="0" applyNumberFormat="1" applyFont="1" applyFill="1" applyBorder="1" applyAlignment="1">
      <alignment horizontal="center" vertical="center"/>
    </xf>
    <xf numFmtId="4" fontId="64" fillId="0" borderId="3" xfId="0" applyNumberFormat="1" applyFont="1" applyFill="1" applyBorder="1" applyAlignment="1">
      <alignment horizontal="center" vertical="center" wrapText="1"/>
    </xf>
    <xf numFmtId="4" fontId="64" fillId="0" borderId="28" xfId="0" applyNumberFormat="1" applyFont="1" applyFill="1" applyBorder="1" applyAlignment="1">
      <alignment horizontal="center" vertical="center" wrapText="1"/>
    </xf>
    <xf numFmtId="0" fontId="57" fillId="0" borderId="0" xfId="0" applyFont="1" applyFill="1"/>
    <xf numFmtId="0" fontId="61" fillId="0" borderId="26" xfId="0" applyFont="1" applyBorder="1" applyAlignment="1">
      <alignment vertical="center"/>
    </xf>
    <xf numFmtId="0" fontId="58" fillId="0" borderId="0" xfId="0" applyFont="1" applyFill="1"/>
    <xf numFmtId="0" fontId="63" fillId="0" borderId="27" xfId="0" applyFont="1" applyBorder="1" applyAlignment="1">
      <alignment wrapText="1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2" fontId="64" fillId="0" borderId="3" xfId="0" applyNumberFormat="1" applyFont="1" applyFill="1" applyBorder="1" applyAlignment="1">
      <alignment horizontal="center" vertical="center"/>
    </xf>
    <xf numFmtId="2" fontId="64" fillId="0" borderId="28" xfId="0" applyNumberFormat="1" applyFont="1" applyFill="1" applyBorder="1" applyAlignment="1">
      <alignment horizontal="center" vertical="center"/>
    </xf>
    <xf numFmtId="4" fontId="64" fillId="0" borderId="29" xfId="0" applyNumberFormat="1" applyFont="1" applyFill="1" applyBorder="1" applyAlignment="1">
      <alignment horizontal="center" vertical="center" wrapText="1"/>
    </xf>
    <xf numFmtId="4" fontId="64" fillId="0" borderId="2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Fill="1" applyBorder="1" applyAlignment="1">
      <alignment horizontal="center" vertical="center" wrapText="1"/>
    </xf>
    <xf numFmtId="4" fontId="61" fillId="0" borderId="27" xfId="0" applyNumberFormat="1" applyFont="1" applyFill="1" applyBorder="1" applyAlignment="1">
      <alignment horizontal="center" vertical="center" wrapText="1"/>
    </xf>
    <xf numFmtId="0" fontId="63" fillId="0" borderId="27" xfId="0" applyFont="1" applyBorder="1" applyAlignment="1">
      <alignment vertical="center"/>
    </xf>
    <xf numFmtId="0" fontId="63" fillId="0" borderId="27" xfId="0" applyFont="1" applyBorder="1"/>
    <xf numFmtId="0" fontId="64" fillId="0" borderId="26" xfId="0" applyFont="1" applyBorder="1" applyAlignment="1">
      <alignment vertical="center"/>
    </xf>
    <xf numFmtId="4" fontId="64" fillId="0" borderId="27" xfId="0" applyNumberFormat="1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wrapText="1"/>
    </xf>
    <xf numFmtId="0" fontId="61" fillId="0" borderId="26" xfId="0" applyFont="1" applyBorder="1" applyAlignment="1">
      <alignment horizontal="center" vertical="center"/>
    </xf>
    <xf numFmtId="0" fontId="61" fillId="0" borderId="33" xfId="0" applyFont="1" applyFill="1" applyBorder="1" applyAlignment="1">
      <alignment vertical="center" wrapText="1"/>
    </xf>
    <xf numFmtId="0" fontId="61" fillId="0" borderId="36" xfId="0" applyFont="1" applyBorder="1" applyAlignment="1">
      <alignment vertical="center"/>
    </xf>
    <xf numFmtId="4" fontId="61" fillId="0" borderId="33" xfId="0" applyNumberFormat="1" applyFont="1" applyFill="1" applyBorder="1" applyAlignment="1">
      <alignment horizontal="center" vertical="center"/>
    </xf>
    <xf numFmtId="4" fontId="61" fillId="0" borderId="24" xfId="0" applyNumberFormat="1" applyFont="1" applyFill="1" applyBorder="1" applyAlignment="1">
      <alignment horizontal="center" vertical="center"/>
    </xf>
    <xf numFmtId="4" fontId="61" fillId="0" borderId="36" xfId="0" applyNumberFormat="1" applyFont="1" applyFill="1" applyBorder="1" applyAlignment="1">
      <alignment horizontal="center" vertical="center"/>
    </xf>
    <xf numFmtId="4" fontId="61" fillId="0" borderId="34" xfId="0" applyNumberFormat="1" applyFont="1" applyFill="1" applyBorder="1" applyAlignment="1">
      <alignment horizontal="center" vertical="center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4" xfId="0" applyNumberFormat="1" applyFont="1" applyFill="1" applyBorder="1" applyAlignment="1">
      <alignment horizontal="center" vertical="center" wrapText="1"/>
    </xf>
    <xf numFmtId="4" fontId="61" fillId="0" borderId="37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4" fontId="61" fillId="0" borderId="51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 horizontal="center" vertical="center" wrapText="1"/>
    </xf>
    <xf numFmtId="0" fontId="61" fillId="0" borderId="9" xfId="0" applyFont="1" applyBorder="1"/>
    <xf numFmtId="0" fontId="61" fillId="0" borderId="5" xfId="0" applyFont="1" applyBorder="1" applyAlignment="1">
      <alignment vertical="center"/>
    </xf>
    <xf numFmtId="4" fontId="61" fillId="0" borderId="9" xfId="0" applyNumberFormat="1" applyFont="1" applyFill="1" applyBorder="1" applyAlignment="1">
      <alignment horizontal="center" vertical="center"/>
    </xf>
    <xf numFmtId="4" fontId="61" fillId="0" borderId="4" xfId="0" applyNumberFormat="1" applyFont="1" applyFill="1" applyBorder="1" applyAlignment="1">
      <alignment horizontal="center" vertical="center"/>
    </xf>
    <xf numFmtId="4" fontId="61" fillId="0" borderId="5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1" fillId="0" borderId="16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center" vertical="center" wrapText="1"/>
    </xf>
    <xf numFmtId="4" fontId="61" fillId="0" borderId="5" xfId="0" applyNumberFormat="1" applyFont="1" applyFill="1" applyBorder="1" applyAlignment="1">
      <alignment horizontal="center" vertical="center" wrapText="1"/>
    </xf>
    <xf numFmtId="4" fontId="61" fillId="0" borderId="9" xfId="0" applyNumberFormat="1" applyFont="1" applyFill="1" applyBorder="1" applyAlignment="1">
      <alignment horizontal="center" vertical="center" wrapText="1"/>
    </xf>
    <xf numFmtId="4" fontId="61" fillId="0" borderId="4" xfId="0" applyNumberFormat="1" applyFont="1" applyFill="1" applyBorder="1" applyAlignment="1">
      <alignment horizontal="center" vertical="center" wrapText="1"/>
    </xf>
    <xf numFmtId="4" fontId="61" fillId="0" borderId="8" xfId="0" applyNumberFormat="1" applyFont="1" applyFill="1" applyBorder="1" applyAlignment="1">
      <alignment horizontal="center" vertical="center" wrapText="1"/>
    </xf>
    <xf numFmtId="0" fontId="58" fillId="0" borderId="15" xfId="0" applyFont="1" applyBorder="1"/>
    <xf numFmtId="0" fontId="61" fillId="5" borderId="12" xfId="0" applyFont="1" applyFill="1" applyBorder="1" applyAlignment="1">
      <alignment vertical="center" wrapText="1"/>
    </xf>
    <xf numFmtId="0" fontId="61" fillId="5" borderId="12" xfId="0" applyFont="1" applyFill="1" applyBorder="1" applyAlignment="1">
      <alignment vertical="center"/>
    </xf>
    <xf numFmtId="4" fontId="61" fillId="5" borderId="12" xfId="0" applyNumberFormat="1" applyFont="1" applyFill="1" applyBorder="1" applyAlignment="1">
      <alignment horizontal="center" vertical="center"/>
    </xf>
    <xf numFmtId="4" fontId="61" fillId="5" borderId="20" xfId="0" applyNumberFormat="1" applyFont="1" applyFill="1" applyBorder="1" applyAlignment="1">
      <alignment horizontal="center" vertical="center"/>
    </xf>
    <xf numFmtId="4" fontId="57" fillId="0" borderId="0" xfId="0" applyNumberFormat="1" applyFont="1"/>
    <xf numFmtId="0" fontId="64" fillId="0" borderId="0" xfId="0" applyFont="1" applyAlignment="1">
      <alignment vertical="center"/>
    </xf>
    <xf numFmtId="0" fontId="64" fillId="0" borderId="0" xfId="0" applyFont="1"/>
    <xf numFmtId="0" fontId="25" fillId="0" borderId="2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vertical="center" wrapText="1"/>
    </xf>
    <xf numFmtId="4" fontId="25" fillId="6" borderId="3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4" fontId="25" fillId="6" borderId="35" xfId="0" applyNumberFormat="1" applyFont="1" applyFill="1" applyBorder="1" applyAlignment="1">
      <alignment horizontal="center" vertical="center" wrapText="1"/>
    </xf>
    <xf numFmtId="4" fontId="25" fillId="6" borderId="36" xfId="0" applyNumberFormat="1" applyFont="1" applyFill="1" applyBorder="1" applyAlignment="1">
      <alignment horizontal="center" vertical="center" wrapText="1"/>
    </xf>
    <xf numFmtId="4" fontId="25" fillId="6" borderId="4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right" vertical="center" wrapText="1"/>
    </xf>
    <xf numFmtId="0" fontId="57" fillId="0" borderId="0" xfId="0" applyFont="1" applyAlignment="1"/>
    <xf numFmtId="0" fontId="59" fillId="4" borderId="13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/>
    </xf>
    <xf numFmtId="0" fontId="61" fillId="4" borderId="16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/>
    </xf>
    <xf numFmtId="0" fontId="59" fillId="4" borderId="1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59" fillId="4" borderId="15" xfId="0" applyFont="1" applyFill="1" applyBorder="1" applyAlignment="1">
      <alignment horizontal="center" vertical="center" wrapText="1"/>
    </xf>
    <xf numFmtId="0" fontId="59" fillId="4" borderId="16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4" borderId="13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/>
    <xf numFmtId="0" fontId="21" fillId="5" borderId="17" xfId="0" applyFont="1" applyFill="1" applyBorder="1" applyAlignment="1">
      <alignment horizontal="left"/>
    </xf>
    <xf numFmtId="0" fontId="21" fillId="5" borderId="18" xfId="0" applyFont="1" applyFill="1" applyBorder="1" applyAlignment="1">
      <alignment horizontal="left"/>
    </xf>
    <xf numFmtId="0" fontId="33" fillId="5" borderId="19" xfId="0" applyFont="1" applyFill="1" applyBorder="1" applyAlignment="1"/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32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Денежный 2" xfId="13"/>
    <cellStyle name="Денежный 3" xfId="12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Плохой 2" xfId="22"/>
    <cellStyle name="Пояснение 2" xfId="23"/>
    <cellStyle name="Примечание 2" xfId="25"/>
    <cellStyle name="Примечание 3" xfId="24"/>
    <cellStyle name="Процентный 2" xfId="26"/>
    <cellStyle name="Связанная ячейка 2" xfId="27"/>
    <cellStyle name="Текст предупреждения 2" xfId="28"/>
    <cellStyle name="Финансовый" xfId="1" builtinId="3"/>
    <cellStyle name="Финансовый 2" xfId="2"/>
    <cellStyle name="Финансовый 2 2" xfId="30"/>
    <cellStyle name="Финансовый 3" xfId="29"/>
    <cellStyle name="Хороший 2" xfId="31"/>
  </cellStyles>
  <dxfs count="0"/>
  <tableStyles count="0" defaultTableStyle="TableStyleMedium9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</sheetPr>
  <dimension ref="A1:R166"/>
  <sheetViews>
    <sheetView tabSelected="1" view="pageBreakPreview" zoomScale="75" zoomScaleNormal="75" zoomScaleSheetLayoutView="75" workbookViewId="0">
      <pane xSplit="2" ySplit="8" topLeftCell="C151" activePane="bottomRight" state="frozen"/>
      <selection pane="topRight" activeCell="C1" sqref="C1"/>
      <selection pane="bottomLeft" activeCell="A10" sqref="A10"/>
      <selection pane="bottomRight" activeCell="A164" sqref="A164"/>
    </sheetView>
  </sheetViews>
  <sheetFormatPr defaultRowHeight="12.75" x14ac:dyDescent="0.2"/>
  <cols>
    <col min="1" max="1" width="50" customWidth="1"/>
    <col min="2" max="2" width="11.140625" customWidth="1"/>
    <col min="3" max="3" width="13.85546875" style="28" customWidth="1"/>
    <col min="4" max="4" width="16" customWidth="1"/>
    <col min="5" max="5" width="15.85546875" customWidth="1"/>
    <col min="6" max="6" width="16.5703125" customWidth="1"/>
    <col min="7" max="7" width="15.5703125" customWidth="1"/>
    <col min="8" max="8" width="16.5703125" customWidth="1"/>
    <col min="9" max="9" width="16.7109375" customWidth="1"/>
    <col min="10" max="10" width="10.85546875" bestFit="1" customWidth="1"/>
    <col min="11" max="11" width="11.28515625" bestFit="1" customWidth="1"/>
    <col min="12" max="12" width="12.140625" bestFit="1" customWidth="1"/>
  </cols>
  <sheetData>
    <row r="1" spans="1:9" ht="20.25" customHeight="1" x14ac:dyDescent="0.2">
      <c r="A1" s="114"/>
      <c r="B1" s="114"/>
      <c r="C1" s="114"/>
      <c r="D1" s="114"/>
      <c r="E1" s="114"/>
      <c r="F1" s="114"/>
      <c r="G1" s="114"/>
      <c r="H1" s="342" t="s">
        <v>61</v>
      </c>
      <c r="I1" s="342"/>
    </row>
    <row r="2" spans="1:9" ht="25.5" customHeight="1" x14ac:dyDescent="0.2">
      <c r="A2" s="1"/>
      <c r="B2" s="2"/>
      <c r="C2" s="1"/>
      <c r="D2" s="1"/>
      <c r="E2" s="11"/>
      <c r="F2" s="11"/>
      <c r="G2" s="11"/>
    </row>
    <row r="3" spans="1:9" ht="20.25" x14ac:dyDescent="0.2">
      <c r="A3" s="344" t="s">
        <v>282</v>
      </c>
      <c r="B3" s="344"/>
      <c r="C3" s="344"/>
      <c r="D3" s="344"/>
      <c r="E3" s="344"/>
      <c r="F3" s="344"/>
      <c r="G3" s="344"/>
      <c r="H3" s="344"/>
      <c r="I3" s="344"/>
    </row>
    <row r="4" spans="1:9" ht="13.5" customHeight="1" x14ac:dyDescent="0.2">
      <c r="A4" s="8"/>
      <c r="B4" s="8"/>
      <c r="C4" s="138"/>
      <c r="D4" s="8"/>
      <c r="E4" s="8"/>
      <c r="F4" s="8"/>
      <c r="G4" s="8"/>
    </row>
    <row r="5" spans="1:9" ht="18.75" x14ac:dyDescent="0.2">
      <c r="A5" s="343" t="s">
        <v>8</v>
      </c>
      <c r="B5" s="345" t="s">
        <v>9</v>
      </c>
      <c r="C5" s="343" t="s">
        <v>250</v>
      </c>
      <c r="D5" s="343" t="s">
        <v>262</v>
      </c>
      <c r="E5" s="343" t="s">
        <v>263</v>
      </c>
      <c r="F5" s="343" t="s">
        <v>63</v>
      </c>
      <c r="G5" s="343"/>
      <c r="H5" s="343"/>
      <c r="I5" s="343"/>
    </row>
    <row r="6" spans="1:9" ht="18.75" x14ac:dyDescent="0.2">
      <c r="A6" s="343"/>
      <c r="B6" s="345"/>
      <c r="C6" s="343"/>
      <c r="D6" s="343"/>
      <c r="E6" s="343"/>
      <c r="F6" s="343" t="s">
        <v>195</v>
      </c>
      <c r="G6" s="343"/>
      <c r="H6" s="343" t="s">
        <v>251</v>
      </c>
      <c r="I6" s="343" t="s">
        <v>264</v>
      </c>
    </row>
    <row r="7" spans="1:9" ht="18.75" x14ac:dyDescent="0.2">
      <c r="A7" s="343"/>
      <c r="B7" s="345"/>
      <c r="C7" s="343"/>
      <c r="D7" s="343"/>
      <c r="E7" s="343"/>
      <c r="F7" s="24" t="s">
        <v>56</v>
      </c>
      <c r="G7" s="24" t="s">
        <v>5</v>
      </c>
      <c r="H7" s="343"/>
      <c r="I7" s="343"/>
    </row>
    <row r="8" spans="1:9" ht="18.75" x14ac:dyDescent="0.2">
      <c r="A8" s="346" t="s">
        <v>10</v>
      </c>
      <c r="B8" s="346"/>
      <c r="C8" s="346"/>
      <c r="D8" s="346"/>
      <c r="E8" s="346"/>
      <c r="F8" s="346"/>
      <c r="G8" s="346"/>
      <c r="H8" s="346"/>
      <c r="I8" s="346"/>
    </row>
    <row r="9" spans="1:9" s="123" customFormat="1" ht="58.5" x14ac:dyDescent="0.2">
      <c r="A9" s="139" t="s">
        <v>81</v>
      </c>
      <c r="B9" s="140" t="s">
        <v>11</v>
      </c>
      <c r="C9" s="141">
        <f>C11+C14+C15+C16+C17+C18+C19+C20</f>
        <v>13455.294</v>
      </c>
      <c r="D9" s="141">
        <f>D12+D13+D14+D15+D16+D17+D18+D19+D20</f>
        <v>14378.050000000001</v>
      </c>
      <c r="E9" s="141">
        <f t="shared" ref="E9:I9" si="0">E12+E13+E14+E15+E16+E17+E18+E19+E20</f>
        <v>15112.64</v>
      </c>
      <c r="F9" s="141">
        <f t="shared" si="0"/>
        <v>16168.86</v>
      </c>
      <c r="G9" s="141">
        <f t="shared" si="0"/>
        <v>16168.86</v>
      </c>
      <c r="H9" s="141">
        <f t="shared" si="0"/>
        <v>16780.78</v>
      </c>
      <c r="I9" s="141">
        <f t="shared" si="0"/>
        <v>17301.02</v>
      </c>
    </row>
    <row r="10" spans="1:9" s="123" customFormat="1" ht="37.5" x14ac:dyDescent="0.2">
      <c r="A10" s="142" t="s">
        <v>12</v>
      </c>
      <c r="B10" s="122"/>
      <c r="C10" s="143"/>
      <c r="D10" s="143"/>
      <c r="E10" s="143"/>
      <c r="F10" s="143"/>
      <c r="G10" s="143"/>
      <c r="H10" s="143"/>
      <c r="I10" s="143"/>
    </row>
    <row r="11" spans="1:9" s="123" customFormat="1" ht="33.75" customHeight="1" x14ac:dyDescent="0.2">
      <c r="A11" s="144" t="s">
        <v>143</v>
      </c>
      <c r="B11" s="122" t="s">
        <v>11</v>
      </c>
      <c r="C11" s="143">
        <f t="shared" ref="C11" si="1">C12+C13</f>
        <v>5477.12</v>
      </c>
      <c r="D11" s="143">
        <f>'Приложение 2'!J8</f>
        <v>3468.5099999999998</v>
      </c>
      <c r="E11" s="143">
        <f>'Приложение 2'!K8</f>
        <v>3537.4937710000004</v>
      </c>
      <c r="F11" s="143">
        <f>'Приложение 2'!L8</f>
        <v>4154.2713218399995</v>
      </c>
      <c r="G11" s="143">
        <f>F11</f>
        <v>4154.2713218399995</v>
      </c>
      <c r="H11" s="143">
        <f>'Приложение 2'!M8</f>
        <v>4295.7886547135995</v>
      </c>
      <c r="I11" s="143">
        <f>'Приложение 2'!N8</f>
        <v>4407.6202009021399</v>
      </c>
    </row>
    <row r="12" spans="1:9" s="123" customFormat="1" ht="56.25" x14ac:dyDescent="0.2">
      <c r="A12" s="145" t="s">
        <v>144</v>
      </c>
      <c r="B12" s="122" t="s">
        <v>11</v>
      </c>
      <c r="C12" s="143">
        <v>986.7</v>
      </c>
      <c r="D12" s="143">
        <v>958.32</v>
      </c>
      <c r="E12" s="143">
        <v>725.79</v>
      </c>
      <c r="F12" s="143">
        <v>754.83</v>
      </c>
      <c r="G12" s="143">
        <f t="shared" ref="G12:G22" si="2">F12</f>
        <v>754.83</v>
      </c>
      <c r="H12" s="143">
        <v>785.02</v>
      </c>
      <c r="I12" s="143">
        <v>816.42</v>
      </c>
    </row>
    <row r="13" spans="1:9" s="123" customFormat="1" ht="18.75" x14ac:dyDescent="0.2">
      <c r="A13" s="146" t="s">
        <v>145</v>
      </c>
      <c r="B13" s="122" t="s">
        <v>11</v>
      </c>
      <c r="C13" s="143">
        <v>4490.42</v>
      </c>
      <c r="D13" s="143">
        <v>3628.97</v>
      </c>
      <c r="E13" s="143">
        <v>3978.59</v>
      </c>
      <c r="F13" s="143">
        <v>4613.01</v>
      </c>
      <c r="G13" s="143">
        <f t="shared" si="2"/>
        <v>4613.01</v>
      </c>
      <c r="H13" s="143">
        <v>4772.88</v>
      </c>
      <c r="I13" s="143">
        <v>4903.79</v>
      </c>
    </row>
    <row r="14" spans="1:9" s="123" customFormat="1" ht="18.75" x14ac:dyDescent="0.2">
      <c r="A14" s="146" t="s">
        <v>46</v>
      </c>
      <c r="B14" s="122" t="s">
        <v>11</v>
      </c>
      <c r="C14" s="143">
        <v>591.95000000000005</v>
      </c>
      <c r="D14" s="143">
        <v>1918</v>
      </c>
      <c r="E14" s="143">
        <v>2156.19</v>
      </c>
      <c r="F14" s="143">
        <v>2224.14</v>
      </c>
      <c r="G14" s="143">
        <f t="shared" si="2"/>
        <v>2224.14</v>
      </c>
      <c r="H14" s="143">
        <v>2305.5700000000002</v>
      </c>
      <c r="I14" s="143">
        <v>2397.8000000000002</v>
      </c>
    </row>
    <row r="15" spans="1:9" s="123" customFormat="1" ht="56.25" x14ac:dyDescent="0.2">
      <c r="A15" s="145" t="s">
        <v>146</v>
      </c>
      <c r="B15" s="122" t="s">
        <v>11</v>
      </c>
      <c r="C15" s="143">
        <v>290.35399999999998</v>
      </c>
      <c r="D15" s="143">
        <v>371.29</v>
      </c>
      <c r="E15" s="143">
        <v>407.49</v>
      </c>
      <c r="F15" s="143">
        <v>423.71</v>
      </c>
      <c r="G15" s="143">
        <f t="shared" si="2"/>
        <v>423.71</v>
      </c>
      <c r="H15" s="143">
        <v>437.46</v>
      </c>
      <c r="I15" s="143">
        <v>374.68</v>
      </c>
    </row>
    <row r="16" spans="1:9" s="123" customFormat="1" ht="53.25" customHeight="1" x14ac:dyDescent="0.2">
      <c r="A16" s="144" t="s">
        <v>147</v>
      </c>
      <c r="B16" s="122" t="s">
        <v>11</v>
      </c>
      <c r="C16" s="143">
        <v>22.1</v>
      </c>
      <c r="D16" s="143">
        <v>58.9</v>
      </c>
      <c r="E16" s="143">
        <v>61.08</v>
      </c>
      <c r="F16" s="143">
        <v>63.52</v>
      </c>
      <c r="G16" s="143">
        <f t="shared" si="2"/>
        <v>63.52</v>
      </c>
      <c r="H16" s="143">
        <v>66.06</v>
      </c>
      <c r="I16" s="143">
        <v>68.7</v>
      </c>
    </row>
    <row r="17" spans="1:9" s="123" customFormat="1" ht="18" customHeight="1" x14ac:dyDescent="0.2">
      <c r="A17" s="146" t="s">
        <v>17</v>
      </c>
      <c r="B17" s="122" t="s">
        <v>11</v>
      </c>
      <c r="C17" s="143">
        <v>1325.67</v>
      </c>
      <c r="D17" s="143">
        <v>1492.59</v>
      </c>
      <c r="E17" s="143">
        <v>1549.03</v>
      </c>
      <c r="F17" s="143">
        <v>1613.28</v>
      </c>
      <c r="G17" s="143">
        <f t="shared" si="2"/>
        <v>1613.28</v>
      </c>
      <c r="H17" s="143">
        <v>1681.4</v>
      </c>
      <c r="I17" s="143">
        <v>1749.9</v>
      </c>
    </row>
    <row r="18" spans="1:9" s="123" customFormat="1" ht="41.25" customHeight="1" x14ac:dyDescent="0.2">
      <c r="A18" s="144" t="s">
        <v>148</v>
      </c>
      <c r="B18" s="122" t="s">
        <v>11</v>
      </c>
      <c r="C18" s="143">
        <v>2942.18</v>
      </c>
      <c r="D18" s="143">
        <v>2920.53</v>
      </c>
      <c r="E18" s="143">
        <v>3070.86</v>
      </c>
      <c r="F18" s="143">
        <v>3186.8</v>
      </c>
      <c r="G18" s="143">
        <f t="shared" si="2"/>
        <v>3186.8</v>
      </c>
      <c r="H18" s="143">
        <v>3312.46</v>
      </c>
      <c r="I18" s="143">
        <v>3441.21</v>
      </c>
    </row>
    <row r="19" spans="1:9" s="123" customFormat="1" ht="19.5" customHeight="1" x14ac:dyDescent="0.2">
      <c r="A19" s="147" t="s">
        <v>175</v>
      </c>
      <c r="B19" s="122" t="s">
        <v>11</v>
      </c>
      <c r="C19" s="143">
        <v>1628.32</v>
      </c>
      <c r="D19" s="143">
        <v>1670.35</v>
      </c>
      <c r="E19" s="143">
        <v>1746.07</v>
      </c>
      <c r="F19" s="143">
        <v>1815.33</v>
      </c>
      <c r="G19" s="143">
        <f t="shared" si="2"/>
        <v>1815.33</v>
      </c>
      <c r="H19" s="143">
        <v>1886.72</v>
      </c>
      <c r="I19" s="143">
        <v>1953.98</v>
      </c>
    </row>
    <row r="20" spans="1:9" s="123" customFormat="1" ht="18.75" x14ac:dyDescent="0.2">
      <c r="A20" s="146" t="s">
        <v>51</v>
      </c>
      <c r="B20" s="122" t="s">
        <v>11</v>
      </c>
      <c r="C20" s="143">
        <v>1177.5999999999999</v>
      </c>
      <c r="D20" s="143">
        <v>1359.1</v>
      </c>
      <c r="E20" s="143">
        <v>1417.54</v>
      </c>
      <c r="F20" s="143">
        <v>1474.24</v>
      </c>
      <c r="G20" s="143">
        <f t="shared" si="2"/>
        <v>1474.24</v>
      </c>
      <c r="H20" s="143">
        <v>1533.21</v>
      </c>
      <c r="I20" s="143">
        <v>1594.54</v>
      </c>
    </row>
    <row r="21" spans="1:9" s="123" customFormat="1" ht="78" x14ac:dyDescent="0.2">
      <c r="A21" s="139" t="s">
        <v>82</v>
      </c>
      <c r="B21" s="122" t="s">
        <v>11</v>
      </c>
      <c r="C21" s="143">
        <v>3941.29</v>
      </c>
      <c r="D21" s="143">
        <f>'Приложение 2'!J37</f>
        <v>3341.2907</v>
      </c>
      <c r="E21" s="143">
        <f>'Приложение 2'!K37</f>
        <v>3484.9662539270103</v>
      </c>
      <c r="F21" s="143">
        <f>'Приложение 2'!L37</f>
        <v>3624.3649040840901</v>
      </c>
      <c r="G21" s="143">
        <f t="shared" si="2"/>
        <v>3624.3649040840901</v>
      </c>
      <c r="H21" s="143">
        <f>'Приложение 2'!M37</f>
        <v>3769.3395002474499</v>
      </c>
      <c r="I21" s="143">
        <f>'Приложение 2'!N37</f>
        <v>3920.1130802573502</v>
      </c>
    </row>
    <row r="22" spans="1:9" s="123" customFormat="1" ht="39.75" customHeight="1" x14ac:dyDescent="0.2">
      <c r="A22" s="148" t="s">
        <v>100</v>
      </c>
      <c r="B22" s="122" t="s">
        <v>11</v>
      </c>
      <c r="C22" s="143">
        <v>121.5</v>
      </c>
      <c r="D22" s="143">
        <f>'Приложение 2'!P38</f>
        <v>234.52316150227529</v>
      </c>
      <c r="E22" s="143">
        <f>'Приложение 2'!Q38</f>
        <v>214.67041833903292</v>
      </c>
      <c r="F22" s="143">
        <f>'Приложение 2'!R38</f>
        <v>227.10255932622621</v>
      </c>
      <c r="G22" s="143">
        <f t="shared" si="2"/>
        <v>227.10255932622621</v>
      </c>
      <c r="H22" s="143">
        <f>'Приложение 2'!S38</f>
        <v>246.92489490223787</v>
      </c>
      <c r="I22" s="143">
        <f>'Приложение 2'!T38</f>
        <v>262.16377542779543</v>
      </c>
    </row>
    <row r="23" spans="1:9" ht="18.75" x14ac:dyDescent="0.2">
      <c r="A23" s="346" t="s">
        <v>15</v>
      </c>
      <c r="B23" s="346"/>
      <c r="C23" s="346"/>
      <c r="D23" s="346"/>
      <c r="E23" s="346"/>
      <c r="F23" s="346"/>
      <c r="G23" s="346"/>
      <c r="H23" s="346"/>
      <c r="I23" s="346"/>
    </row>
    <row r="24" spans="1:9" ht="18.75" x14ac:dyDescent="0.2">
      <c r="A24" s="150" t="s">
        <v>65</v>
      </c>
      <c r="B24" s="158"/>
      <c r="C24" s="121"/>
      <c r="D24" s="121"/>
      <c r="E24" s="121"/>
      <c r="F24" s="121"/>
      <c r="G24" s="121"/>
      <c r="H24" s="121"/>
      <c r="I24" s="121"/>
    </row>
    <row r="25" spans="1:9" ht="75" x14ac:dyDescent="0.2">
      <c r="A25" s="157" t="s">
        <v>193</v>
      </c>
      <c r="B25" s="151" t="s">
        <v>11</v>
      </c>
      <c r="C25" s="121">
        <f>C29+C32+C35+C38</f>
        <v>477.63</v>
      </c>
      <c r="D25" s="121">
        <f t="shared" ref="D25:I25" si="3">D29+D32+D35+D38</f>
        <v>2270.8352297004781</v>
      </c>
      <c r="E25" s="121">
        <f t="shared" si="3"/>
        <v>2539.4991299485318</v>
      </c>
      <c r="F25" s="121">
        <f t="shared" si="3"/>
        <v>2622.7174750403669</v>
      </c>
      <c r="G25" s="121">
        <f t="shared" si="3"/>
        <v>2622.7174750403669</v>
      </c>
      <c r="H25" s="121">
        <f t="shared" si="3"/>
        <v>2717.6135807912992</v>
      </c>
      <c r="I25" s="121">
        <f t="shared" si="3"/>
        <v>2764.2312236147473</v>
      </c>
    </row>
    <row r="26" spans="1:9" ht="34.5" customHeight="1" x14ac:dyDescent="0.2">
      <c r="A26" s="157" t="s">
        <v>67</v>
      </c>
      <c r="B26" s="158" t="s">
        <v>13</v>
      </c>
      <c r="C26" s="121">
        <v>92.2</v>
      </c>
      <c r="D26" s="121">
        <v>92.2</v>
      </c>
      <c r="E26" s="121">
        <v>85.3</v>
      </c>
      <c r="F26" s="121">
        <v>112.2</v>
      </c>
      <c r="G26" s="121">
        <v>112.2</v>
      </c>
      <c r="H26" s="121">
        <v>128</v>
      </c>
      <c r="I26" s="121">
        <v>106.2</v>
      </c>
    </row>
    <row r="27" spans="1:9" ht="18.75" x14ac:dyDescent="0.2">
      <c r="A27" s="177" t="s">
        <v>28</v>
      </c>
      <c r="B27" s="151"/>
      <c r="C27" s="121"/>
      <c r="D27" s="121"/>
      <c r="E27" s="121"/>
      <c r="F27" s="121"/>
      <c r="G27" s="121"/>
      <c r="H27" s="121"/>
      <c r="I27" s="121"/>
    </row>
    <row r="28" spans="1:9" ht="18.75" hidden="1" x14ac:dyDescent="0.2">
      <c r="A28" s="150" t="s">
        <v>149</v>
      </c>
      <c r="B28" s="151"/>
      <c r="C28" s="149"/>
      <c r="D28" s="149"/>
      <c r="E28" s="149"/>
      <c r="F28" s="149"/>
      <c r="G28" s="153"/>
      <c r="H28" s="149"/>
      <c r="I28" s="153"/>
    </row>
    <row r="29" spans="1:9" ht="56.25" hidden="1" x14ac:dyDescent="0.2">
      <c r="A29" s="152" t="s">
        <v>150</v>
      </c>
      <c r="B29" s="151" t="s">
        <v>11</v>
      </c>
      <c r="C29" s="149">
        <v>0</v>
      </c>
      <c r="D29" s="149"/>
      <c r="E29" s="149"/>
      <c r="F29" s="149"/>
      <c r="G29" s="149"/>
      <c r="H29" s="149"/>
      <c r="I29" s="149"/>
    </row>
    <row r="30" spans="1:9" ht="18.75" hidden="1" x14ac:dyDescent="0.2">
      <c r="A30" s="152" t="s">
        <v>2</v>
      </c>
      <c r="B30" s="151" t="s">
        <v>13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</row>
    <row r="31" spans="1:9" s="123" customFormat="1" ht="18.75" x14ac:dyDescent="0.2">
      <c r="A31" s="150" t="s">
        <v>151</v>
      </c>
      <c r="B31" s="151"/>
      <c r="C31" s="149"/>
      <c r="D31" s="149"/>
      <c r="E31" s="149"/>
      <c r="F31" s="149"/>
      <c r="G31" s="149"/>
      <c r="H31" s="149"/>
      <c r="I31" s="149"/>
    </row>
    <row r="32" spans="1:9" s="123" customFormat="1" ht="56.25" x14ac:dyDescent="0.2">
      <c r="A32" s="152" t="s">
        <v>150</v>
      </c>
      <c r="B32" s="151" t="s">
        <v>11</v>
      </c>
      <c r="C32" s="149">
        <v>279.27999999999997</v>
      </c>
      <c r="D32" s="149">
        <f>'Приложение 2'!D17+312.6593</f>
        <v>1918.0013000000001</v>
      </c>
      <c r="E32" s="149">
        <f>'Приложение 2'!E17+326.10365</f>
        <v>2156.19353</v>
      </c>
      <c r="F32" s="149">
        <f>'Приложение 2'!F17+339.1478</f>
        <v>2224.1403764000002</v>
      </c>
      <c r="G32" s="153">
        <f>F32</f>
        <v>2224.1403764000002</v>
      </c>
      <c r="H32" s="149">
        <f>'Приложение 2'!G17+352.71371</f>
        <v>2305.5660191504003</v>
      </c>
      <c r="I32" s="149">
        <f>'Приложение 2'!H17+366.82226</f>
        <v>2397.7976615164202</v>
      </c>
    </row>
    <row r="33" spans="1:9" s="123" customFormat="1" ht="18.75" x14ac:dyDescent="0.2">
      <c r="A33" s="152" t="s">
        <v>2</v>
      </c>
      <c r="B33" s="151" t="s">
        <v>13</v>
      </c>
      <c r="C33" s="149">
        <v>90.9</v>
      </c>
      <c r="D33" s="149">
        <v>96.6</v>
      </c>
      <c r="E33" s="149">
        <v>81.8</v>
      </c>
      <c r="F33" s="149">
        <v>115.8</v>
      </c>
      <c r="G33" s="153">
        <f t="shared" ref="G33:G71" si="4">F33</f>
        <v>115.8</v>
      </c>
      <c r="H33" s="153">
        <v>135.19999999999999</v>
      </c>
      <c r="I33" s="153">
        <v>107.4</v>
      </c>
    </row>
    <row r="34" spans="1:9" s="123" customFormat="1" ht="56.25" x14ac:dyDescent="0.2">
      <c r="A34" s="154" t="s">
        <v>152</v>
      </c>
      <c r="B34" s="151"/>
      <c r="C34" s="149"/>
      <c r="D34" s="149"/>
      <c r="E34" s="149"/>
      <c r="F34" s="149"/>
      <c r="G34" s="153"/>
      <c r="H34" s="149"/>
      <c r="I34" s="153"/>
    </row>
    <row r="35" spans="1:9" s="123" customFormat="1" ht="56.25" x14ac:dyDescent="0.2">
      <c r="A35" s="152" t="s">
        <v>153</v>
      </c>
      <c r="B35" s="151" t="s">
        <v>11</v>
      </c>
      <c r="C35" s="149">
        <v>176.25</v>
      </c>
      <c r="D35" s="149">
        <f>'Приложение 2'!D20+29.82083</f>
        <v>293.93792999999999</v>
      </c>
      <c r="E35" s="149">
        <f>'Приложение 2'!E20+31.10312</f>
        <v>322.23044825913615</v>
      </c>
      <c r="F35" s="149">
        <f>'Приложение 2'!F20+32.34725</f>
        <v>335.05894088339551</v>
      </c>
      <c r="G35" s="153">
        <f t="shared" si="4"/>
        <v>335.05894088339551</v>
      </c>
      <c r="H35" s="149">
        <f>'Приложение 2'!G20+33.64114</f>
        <v>345.98867757364854</v>
      </c>
      <c r="I35" s="149">
        <f>'Приложение 2'!H20+34.98678</f>
        <v>297.73232266838659</v>
      </c>
    </row>
    <row r="36" spans="1:9" s="123" customFormat="1" ht="18.75" x14ac:dyDescent="0.2">
      <c r="A36" s="152" t="s">
        <v>2</v>
      </c>
      <c r="B36" s="151" t="s">
        <v>13</v>
      </c>
      <c r="C36" s="149">
        <v>98.4</v>
      </c>
      <c r="D36" s="149">
        <v>90.5</v>
      </c>
      <c r="E36" s="149">
        <v>99.9</v>
      </c>
      <c r="F36" s="149">
        <v>99.9</v>
      </c>
      <c r="G36" s="153">
        <f t="shared" si="4"/>
        <v>99.9</v>
      </c>
      <c r="H36" s="149">
        <v>99.9</v>
      </c>
      <c r="I36" s="149">
        <v>99.9</v>
      </c>
    </row>
    <row r="37" spans="1:9" s="123" customFormat="1" ht="75" x14ac:dyDescent="0.2">
      <c r="A37" s="154" t="s">
        <v>154</v>
      </c>
      <c r="B37" s="151"/>
      <c r="C37" s="149"/>
      <c r="D37" s="149"/>
      <c r="E37" s="149"/>
      <c r="F37" s="149"/>
      <c r="G37" s="153"/>
      <c r="H37" s="149"/>
      <c r="I37" s="153"/>
    </row>
    <row r="38" spans="1:9" s="123" customFormat="1" ht="56.25" x14ac:dyDescent="0.2">
      <c r="A38" s="152" t="s">
        <v>153</v>
      </c>
      <c r="B38" s="151" t="s">
        <v>11</v>
      </c>
      <c r="C38" s="149">
        <v>22.1</v>
      </c>
      <c r="D38" s="149">
        <f>'Приложение 2'!D23</f>
        <v>58.895999700477994</v>
      </c>
      <c r="E38" s="149">
        <f>'Приложение 2'!E23</f>
        <v>61.075151689395675</v>
      </c>
      <c r="F38" s="149">
        <f>'Приложение 2'!F23</f>
        <v>63.518157756971497</v>
      </c>
      <c r="G38" s="153">
        <f t="shared" si="4"/>
        <v>63.518157756971497</v>
      </c>
      <c r="H38" s="149">
        <f>'Приложение 2'!G23</f>
        <v>66.058884067250375</v>
      </c>
      <c r="I38" s="149">
        <f>'Приложение 2'!H23</f>
        <v>68.701239429940387</v>
      </c>
    </row>
    <row r="39" spans="1:9" s="123" customFormat="1" ht="37.5" x14ac:dyDescent="0.2">
      <c r="A39" s="155" t="s">
        <v>155</v>
      </c>
      <c r="B39" s="156"/>
      <c r="C39" s="149"/>
      <c r="D39" s="149"/>
      <c r="E39" s="149"/>
      <c r="F39" s="149"/>
      <c r="G39" s="153"/>
      <c r="H39" s="149"/>
      <c r="I39" s="149"/>
    </row>
    <row r="40" spans="1:9" s="123" customFormat="1" ht="37.5" x14ac:dyDescent="0.2">
      <c r="A40" s="157" t="s">
        <v>16</v>
      </c>
      <c r="B40" s="151" t="s">
        <v>11</v>
      </c>
      <c r="C40" s="149">
        <f t="shared" ref="C40:I40" si="5">C12</f>
        <v>986.7</v>
      </c>
      <c r="D40" s="149">
        <f t="shared" si="5"/>
        <v>958.32</v>
      </c>
      <c r="E40" s="149">
        <f t="shared" si="5"/>
        <v>725.79</v>
      </c>
      <c r="F40" s="149">
        <f t="shared" si="5"/>
        <v>754.83</v>
      </c>
      <c r="G40" s="149">
        <f t="shared" si="5"/>
        <v>754.83</v>
      </c>
      <c r="H40" s="149">
        <f t="shared" si="5"/>
        <v>785.02</v>
      </c>
      <c r="I40" s="149">
        <f t="shared" si="5"/>
        <v>816.42</v>
      </c>
    </row>
    <row r="41" spans="1:9" s="123" customFormat="1" ht="37.5" x14ac:dyDescent="0.2">
      <c r="A41" s="157" t="s">
        <v>156</v>
      </c>
      <c r="B41" s="151" t="s">
        <v>13</v>
      </c>
      <c r="C41" s="149">
        <v>110.6</v>
      </c>
      <c r="D41" s="149">
        <v>98.2</v>
      </c>
      <c r="E41" s="149">
        <v>99.9</v>
      </c>
      <c r="F41" s="149">
        <v>99.9</v>
      </c>
      <c r="G41" s="153">
        <f t="shared" si="4"/>
        <v>99.9</v>
      </c>
      <c r="H41" s="149">
        <v>100.1</v>
      </c>
      <c r="I41" s="153">
        <v>100.1</v>
      </c>
    </row>
    <row r="42" spans="1:9" s="123" customFormat="1" ht="18.75" x14ac:dyDescent="0.2">
      <c r="A42" s="150" t="s">
        <v>157</v>
      </c>
      <c r="B42" s="156"/>
      <c r="C42" s="149"/>
      <c r="D42" s="149"/>
      <c r="E42" s="149"/>
      <c r="F42" s="149"/>
      <c r="G42" s="153">
        <f t="shared" si="4"/>
        <v>0</v>
      </c>
      <c r="H42" s="149"/>
      <c r="I42" s="149"/>
    </row>
    <row r="43" spans="1:9" s="123" customFormat="1" ht="18.75" x14ac:dyDescent="0.2">
      <c r="A43" s="130" t="s">
        <v>158</v>
      </c>
      <c r="B43" s="151" t="s">
        <v>11</v>
      </c>
      <c r="C43" s="149">
        <f>C17</f>
        <v>1325.67</v>
      </c>
      <c r="D43" s="176">
        <f>'Приложение 2'!D24+385.80969</f>
        <v>1492.5919900000001</v>
      </c>
      <c r="E43" s="176">
        <f>'Приложение 2'!E24+402.39951</f>
        <v>1549.0259728000001</v>
      </c>
      <c r="F43" s="176">
        <f>'Приложение 2'!F24+418.49549</f>
        <v>1613.2802642376</v>
      </c>
      <c r="G43" s="176">
        <f t="shared" si="4"/>
        <v>1613.2802642376</v>
      </c>
      <c r="H43" s="176">
        <f>'Приложение 2'!G24+435.23531</f>
        <v>1681.39582952982</v>
      </c>
      <c r="I43" s="176">
        <f>'Приложение 2'!H24+452.64472</f>
        <v>1749.89782083054</v>
      </c>
    </row>
    <row r="44" spans="1:9" s="123" customFormat="1" ht="18.75" x14ac:dyDescent="0.2">
      <c r="A44" s="130" t="s">
        <v>18</v>
      </c>
      <c r="B44" s="151" t="s">
        <v>19</v>
      </c>
      <c r="C44" s="149">
        <v>2797</v>
      </c>
      <c r="D44" s="149">
        <v>2819</v>
      </c>
      <c r="E44" s="149">
        <v>2819</v>
      </c>
      <c r="F44" s="149">
        <v>2819</v>
      </c>
      <c r="G44" s="153">
        <f t="shared" si="4"/>
        <v>2819</v>
      </c>
      <c r="H44" s="149">
        <v>2819</v>
      </c>
      <c r="I44" s="149">
        <v>2819</v>
      </c>
    </row>
    <row r="45" spans="1:9" s="123" customFormat="1" ht="18.75" x14ac:dyDescent="0.2">
      <c r="A45" s="130" t="s">
        <v>20</v>
      </c>
      <c r="B45" s="151" t="s">
        <v>19</v>
      </c>
      <c r="C45" s="149">
        <f>C44/C73/1000</f>
        <v>5.5386138613861387E-2</v>
      </c>
      <c r="D45" s="149">
        <f t="shared" ref="D45:I45" si="6">D44/D73/1000</f>
        <v>5.6606425702811249E-2</v>
      </c>
      <c r="E45" s="149">
        <f t="shared" si="6"/>
        <v>5.7413441955193482E-2</v>
      </c>
      <c r="F45" s="149">
        <f t="shared" si="6"/>
        <v>5.7413441955193482E-2</v>
      </c>
      <c r="G45" s="153">
        <f t="shared" si="4"/>
        <v>5.7413441955193482E-2</v>
      </c>
      <c r="H45" s="149">
        <f t="shared" si="6"/>
        <v>5.7413441955193482E-2</v>
      </c>
      <c r="I45" s="149">
        <f t="shared" si="6"/>
        <v>5.7413441955193482E-2</v>
      </c>
    </row>
    <row r="46" spans="1:9" s="123" customFormat="1" ht="18.75" x14ac:dyDescent="0.2">
      <c r="A46" s="150" t="s">
        <v>159</v>
      </c>
      <c r="B46" s="156"/>
      <c r="C46" s="149"/>
      <c r="D46" s="149"/>
      <c r="E46" s="149"/>
      <c r="F46" s="149"/>
      <c r="G46" s="153">
        <f t="shared" si="4"/>
        <v>0</v>
      </c>
      <c r="H46" s="149"/>
      <c r="I46" s="153"/>
    </row>
    <row r="47" spans="1:9" s="123" customFormat="1" ht="18.75" x14ac:dyDescent="0.2">
      <c r="A47" s="130" t="s">
        <v>160</v>
      </c>
      <c r="B47" s="151" t="s">
        <v>161</v>
      </c>
      <c r="C47" s="149">
        <v>272707.90000000002</v>
      </c>
      <c r="D47" s="149">
        <v>272707.90000000002</v>
      </c>
      <c r="E47" s="149">
        <v>272707.90000000002</v>
      </c>
      <c r="F47" s="149">
        <v>272707.90000000002</v>
      </c>
      <c r="G47" s="149">
        <v>272707.90000000002</v>
      </c>
      <c r="H47" s="149">
        <v>272707.90000000002</v>
      </c>
      <c r="I47" s="149">
        <v>272707.90000000002</v>
      </c>
    </row>
    <row r="48" spans="1:9" s="123" customFormat="1" ht="18.75" x14ac:dyDescent="0.2">
      <c r="A48" s="130" t="s">
        <v>162</v>
      </c>
      <c r="B48" s="151" t="s">
        <v>163</v>
      </c>
      <c r="C48" s="149"/>
      <c r="D48" s="149"/>
      <c r="E48" s="149"/>
      <c r="F48" s="149"/>
      <c r="G48" s="153">
        <f t="shared" si="4"/>
        <v>0</v>
      </c>
      <c r="H48" s="149"/>
      <c r="I48" s="149"/>
    </row>
    <row r="49" spans="1:9" s="123" customFormat="1" ht="56.25" x14ac:dyDescent="0.2">
      <c r="A49" s="150" t="s">
        <v>164</v>
      </c>
      <c r="B49" s="151"/>
      <c r="C49" s="149"/>
      <c r="D49" s="149"/>
      <c r="E49" s="149"/>
      <c r="F49" s="149"/>
      <c r="G49" s="153">
        <f t="shared" si="4"/>
        <v>0</v>
      </c>
      <c r="H49" s="149"/>
      <c r="I49" s="153"/>
    </row>
    <row r="50" spans="1:9" s="123" customFormat="1" ht="18.75" x14ac:dyDescent="0.2">
      <c r="A50" s="130" t="s">
        <v>22</v>
      </c>
      <c r="B50" s="151" t="s">
        <v>11</v>
      </c>
      <c r="C50" s="149">
        <v>4174.3999999999996</v>
      </c>
      <c r="D50" s="149">
        <v>4034.4</v>
      </c>
      <c r="E50" s="149">
        <f>D50*E51/100</f>
        <v>4163.5007999999998</v>
      </c>
      <c r="F50" s="149">
        <f t="shared" ref="F50:I50" si="7">E50*F51/100</f>
        <v>4284.2423232000001</v>
      </c>
      <c r="G50" s="149">
        <f>F50</f>
        <v>4284.2423232000001</v>
      </c>
      <c r="H50" s="149">
        <f t="shared" si="7"/>
        <v>4404.2011082496001</v>
      </c>
      <c r="I50" s="149">
        <f t="shared" si="7"/>
        <v>4527.5187392805892</v>
      </c>
    </row>
    <row r="51" spans="1:9" s="123" customFormat="1" ht="18.75" x14ac:dyDescent="0.2">
      <c r="A51" s="130" t="s">
        <v>23</v>
      </c>
      <c r="B51" s="151" t="s">
        <v>13</v>
      </c>
      <c r="C51" s="149">
        <v>104.5</v>
      </c>
      <c r="D51" s="149">
        <v>92.7</v>
      </c>
      <c r="E51" s="149">
        <v>103.2</v>
      </c>
      <c r="F51" s="149">
        <v>102.9</v>
      </c>
      <c r="G51" s="153">
        <f t="shared" si="4"/>
        <v>102.9</v>
      </c>
      <c r="H51" s="149">
        <v>102.8</v>
      </c>
      <c r="I51" s="149">
        <v>102.8</v>
      </c>
    </row>
    <row r="52" spans="1:9" ht="18.75" x14ac:dyDescent="0.2">
      <c r="A52" s="155" t="s">
        <v>24</v>
      </c>
      <c r="B52" s="156"/>
      <c r="C52" s="149"/>
      <c r="D52" s="149"/>
      <c r="E52" s="149"/>
      <c r="F52" s="149"/>
      <c r="G52" s="153">
        <f t="shared" si="4"/>
        <v>0</v>
      </c>
      <c r="H52" s="149"/>
      <c r="I52" s="149"/>
    </row>
    <row r="53" spans="1:9" ht="37.5" x14ac:dyDescent="0.2">
      <c r="A53" s="157" t="s">
        <v>165</v>
      </c>
      <c r="B53" s="151" t="s">
        <v>25</v>
      </c>
      <c r="C53" s="149">
        <f>C56+C57+C58+C59+C60+C61+C62+C63+C64+C65+C66</f>
        <v>255</v>
      </c>
      <c r="D53" s="149">
        <f t="shared" ref="D53:I53" si="8">D56+D57+D58+D59+D60+D61+D62+D63+D64+D65+D66</f>
        <v>218</v>
      </c>
      <c r="E53" s="149">
        <f t="shared" si="8"/>
        <v>216</v>
      </c>
      <c r="F53" s="149">
        <f t="shared" si="8"/>
        <v>217</v>
      </c>
      <c r="G53" s="153">
        <f t="shared" si="4"/>
        <v>217</v>
      </c>
      <c r="H53" s="149">
        <f t="shared" si="8"/>
        <v>217</v>
      </c>
      <c r="I53" s="149">
        <f t="shared" si="8"/>
        <v>217</v>
      </c>
    </row>
    <row r="54" spans="1:9" ht="37.5" x14ac:dyDescent="0.2">
      <c r="A54" s="157" t="s">
        <v>66</v>
      </c>
      <c r="B54" s="151"/>
      <c r="C54" s="149"/>
      <c r="D54" s="149"/>
      <c r="E54" s="149"/>
      <c r="F54" s="149"/>
      <c r="G54" s="153">
        <f t="shared" si="4"/>
        <v>0</v>
      </c>
      <c r="H54" s="149"/>
      <c r="I54" s="153"/>
    </row>
    <row r="55" spans="1:9" ht="37.5" customHeight="1" x14ac:dyDescent="0.2">
      <c r="A55" s="157" t="s">
        <v>194</v>
      </c>
      <c r="B55" s="151" t="s">
        <v>25</v>
      </c>
      <c r="C55" s="149">
        <f>C56+C57</f>
        <v>37</v>
      </c>
      <c r="D55" s="149">
        <f t="shared" ref="D55:I55" si="9">D56+D57</f>
        <v>29</v>
      </c>
      <c r="E55" s="149">
        <f t="shared" si="9"/>
        <v>29</v>
      </c>
      <c r="F55" s="149">
        <f t="shared" si="9"/>
        <v>29</v>
      </c>
      <c r="G55" s="153">
        <f t="shared" si="4"/>
        <v>29</v>
      </c>
      <c r="H55" s="149">
        <f t="shared" si="9"/>
        <v>29</v>
      </c>
      <c r="I55" s="149">
        <f t="shared" si="9"/>
        <v>29</v>
      </c>
    </row>
    <row r="56" spans="1:9" ht="59.25" customHeight="1" x14ac:dyDescent="0.2">
      <c r="A56" s="157" t="s">
        <v>144</v>
      </c>
      <c r="B56" s="151" t="s">
        <v>25</v>
      </c>
      <c r="C56" s="149">
        <v>10</v>
      </c>
      <c r="D56" s="149">
        <v>10</v>
      </c>
      <c r="E56" s="149">
        <v>10</v>
      </c>
      <c r="F56" s="149">
        <v>10</v>
      </c>
      <c r="G56" s="153">
        <f t="shared" si="4"/>
        <v>10</v>
      </c>
      <c r="H56" s="149">
        <v>10</v>
      </c>
      <c r="I56" s="149">
        <v>10</v>
      </c>
    </row>
    <row r="57" spans="1:9" ht="18.75" x14ac:dyDescent="0.2">
      <c r="A57" s="157" t="s">
        <v>145</v>
      </c>
      <c r="B57" s="151" t="s">
        <v>25</v>
      </c>
      <c r="C57" s="149">
        <v>27</v>
      </c>
      <c r="D57" s="149">
        <v>19</v>
      </c>
      <c r="E57" s="149">
        <v>19</v>
      </c>
      <c r="F57" s="149">
        <v>19</v>
      </c>
      <c r="G57" s="153">
        <f t="shared" si="4"/>
        <v>19</v>
      </c>
      <c r="H57" s="149">
        <v>19</v>
      </c>
      <c r="I57" s="149">
        <v>19</v>
      </c>
    </row>
    <row r="58" spans="1:9" ht="18.75" x14ac:dyDescent="0.2">
      <c r="A58" s="157" t="s">
        <v>45</v>
      </c>
      <c r="B58" s="151" t="s">
        <v>25</v>
      </c>
      <c r="C58" s="149">
        <v>3</v>
      </c>
      <c r="D58" s="149">
        <v>3</v>
      </c>
      <c r="E58" s="149">
        <v>3</v>
      </c>
      <c r="F58" s="149">
        <v>3</v>
      </c>
      <c r="G58" s="153">
        <f t="shared" si="4"/>
        <v>3</v>
      </c>
      <c r="H58" s="149">
        <v>3</v>
      </c>
      <c r="I58" s="149">
        <v>3</v>
      </c>
    </row>
    <row r="59" spans="1:9" ht="18.75" x14ac:dyDescent="0.2">
      <c r="A59" s="157" t="s">
        <v>46</v>
      </c>
      <c r="B59" s="151" t="s">
        <v>25</v>
      </c>
      <c r="C59" s="149">
        <v>19</v>
      </c>
      <c r="D59" s="149">
        <v>15</v>
      </c>
      <c r="E59" s="149">
        <v>16</v>
      </c>
      <c r="F59" s="149">
        <v>16</v>
      </c>
      <c r="G59" s="153">
        <f t="shared" si="4"/>
        <v>16</v>
      </c>
      <c r="H59" s="149">
        <v>16</v>
      </c>
      <c r="I59" s="149">
        <v>16</v>
      </c>
    </row>
    <row r="60" spans="1:9" ht="56.25" x14ac:dyDescent="0.2">
      <c r="A60" s="157" t="s">
        <v>146</v>
      </c>
      <c r="B60" s="151" t="s">
        <v>25</v>
      </c>
      <c r="C60" s="149">
        <v>5</v>
      </c>
      <c r="D60" s="149">
        <v>4</v>
      </c>
      <c r="E60" s="149">
        <v>4</v>
      </c>
      <c r="F60" s="149">
        <v>4</v>
      </c>
      <c r="G60" s="153">
        <f t="shared" si="4"/>
        <v>4</v>
      </c>
      <c r="H60" s="149">
        <v>4</v>
      </c>
      <c r="I60" s="149">
        <v>4</v>
      </c>
    </row>
    <row r="61" spans="1:9" ht="57" customHeight="1" x14ac:dyDescent="0.2">
      <c r="A61" s="157" t="s">
        <v>147</v>
      </c>
      <c r="B61" s="151" t="s">
        <v>25</v>
      </c>
      <c r="C61" s="149">
        <v>2</v>
      </c>
      <c r="D61" s="149">
        <v>3</v>
      </c>
      <c r="E61" s="149">
        <v>3</v>
      </c>
      <c r="F61" s="149">
        <v>3</v>
      </c>
      <c r="G61" s="153">
        <f t="shared" si="4"/>
        <v>3</v>
      </c>
      <c r="H61" s="149">
        <v>3</v>
      </c>
      <c r="I61" s="149">
        <v>3</v>
      </c>
    </row>
    <row r="62" spans="1:9" ht="18.75" x14ac:dyDescent="0.2">
      <c r="A62" s="157" t="s">
        <v>17</v>
      </c>
      <c r="B62" s="151" t="s">
        <v>25</v>
      </c>
      <c r="C62" s="149">
        <v>17</v>
      </c>
      <c r="D62" s="149">
        <v>20</v>
      </c>
      <c r="E62" s="149">
        <v>16</v>
      </c>
      <c r="F62" s="149">
        <v>17</v>
      </c>
      <c r="G62" s="153">
        <f t="shared" si="4"/>
        <v>17</v>
      </c>
      <c r="H62" s="149">
        <v>17</v>
      </c>
      <c r="I62" s="149">
        <v>17</v>
      </c>
    </row>
    <row r="63" spans="1:9" ht="56.25" x14ac:dyDescent="0.2">
      <c r="A63" s="157" t="s">
        <v>148</v>
      </c>
      <c r="B63" s="151" t="s">
        <v>25</v>
      </c>
      <c r="C63" s="149">
        <v>82</v>
      </c>
      <c r="D63" s="149">
        <v>56</v>
      </c>
      <c r="E63" s="149">
        <v>55</v>
      </c>
      <c r="F63" s="149">
        <v>55</v>
      </c>
      <c r="G63" s="153">
        <f t="shared" si="4"/>
        <v>55</v>
      </c>
      <c r="H63" s="149">
        <v>55</v>
      </c>
      <c r="I63" s="149">
        <v>55</v>
      </c>
    </row>
    <row r="64" spans="1:9" ht="18.75" x14ac:dyDescent="0.2">
      <c r="A64" s="173" t="s">
        <v>175</v>
      </c>
      <c r="B64" s="151" t="s">
        <v>25</v>
      </c>
      <c r="C64" s="149">
        <v>39</v>
      </c>
      <c r="D64" s="149">
        <v>44</v>
      </c>
      <c r="E64" s="149">
        <v>43</v>
      </c>
      <c r="F64" s="149">
        <v>43</v>
      </c>
      <c r="G64" s="153">
        <f t="shared" si="4"/>
        <v>43</v>
      </c>
      <c r="H64" s="149">
        <v>43</v>
      </c>
      <c r="I64" s="149">
        <v>43</v>
      </c>
    </row>
    <row r="65" spans="1:9" ht="37.5" x14ac:dyDescent="0.2">
      <c r="A65" s="178" t="s">
        <v>176</v>
      </c>
      <c r="B65" s="151" t="s">
        <v>25</v>
      </c>
      <c r="C65" s="149">
        <v>1</v>
      </c>
      <c r="D65" s="149">
        <v>1</v>
      </c>
      <c r="E65" s="149">
        <v>1</v>
      </c>
      <c r="F65" s="149">
        <v>1</v>
      </c>
      <c r="G65" s="153">
        <f t="shared" si="4"/>
        <v>1</v>
      </c>
      <c r="H65" s="149">
        <v>1</v>
      </c>
      <c r="I65" s="149">
        <v>1</v>
      </c>
    </row>
    <row r="66" spans="1:9" ht="18.75" x14ac:dyDescent="0.2">
      <c r="A66" s="157" t="s">
        <v>51</v>
      </c>
      <c r="B66" s="151" t="s">
        <v>25</v>
      </c>
      <c r="C66" s="149">
        <v>50</v>
      </c>
      <c r="D66" s="149">
        <v>43</v>
      </c>
      <c r="E66" s="149">
        <v>46</v>
      </c>
      <c r="F66" s="149">
        <v>46</v>
      </c>
      <c r="G66" s="153">
        <f t="shared" si="4"/>
        <v>46</v>
      </c>
      <c r="H66" s="149">
        <v>46</v>
      </c>
      <c r="I66" s="149">
        <v>46</v>
      </c>
    </row>
    <row r="67" spans="1:9" ht="56.25" x14ac:dyDescent="0.2">
      <c r="A67" s="174" t="s">
        <v>75</v>
      </c>
      <c r="B67" s="151" t="s">
        <v>13</v>
      </c>
      <c r="C67" s="149">
        <f>C21/C9*100</f>
        <v>29.29174197159869</v>
      </c>
      <c r="D67" s="149">
        <f t="shared" ref="D67:I67" si="10">D21/D9*100</f>
        <v>23.238830717656427</v>
      </c>
      <c r="E67" s="149">
        <f t="shared" si="10"/>
        <v>23.059943556698304</v>
      </c>
      <c r="F67" s="149">
        <f t="shared" si="10"/>
        <v>22.415710842224438</v>
      </c>
      <c r="G67" s="153">
        <f t="shared" si="4"/>
        <v>22.415710842224438</v>
      </c>
      <c r="H67" s="149">
        <f t="shared" si="10"/>
        <v>22.462242519402853</v>
      </c>
      <c r="I67" s="149">
        <f t="shared" si="10"/>
        <v>22.658277259128941</v>
      </c>
    </row>
    <row r="68" spans="1:9" ht="39" x14ac:dyDescent="0.2">
      <c r="A68" s="175" t="s">
        <v>73</v>
      </c>
      <c r="B68" s="151" t="s">
        <v>25</v>
      </c>
      <c r="C68" s="149">
        <v>223</v>
      </c>
      <c r="D68" s="149">
        <v>187</v>
      </c>
      <c r="E68" s="149">
        <v>190</v>
      </c>
      <c r="F68" s="149">
        <v>190</v>
      </c>
      <c r="G68" s="153">
        <f t="shared" si="4"/>
        <v>190</v>
      </c>
      <c r="H68" s="149">
        <v>190</v>
      </c>
      <c r="I68" s="149">
        <v>190</v>
      </c>
    </row>
    <row r="69" spans="1:9" ht="56.25" x14ac:dyDescent="0.2">
      <c r="A69" s="157" t="s">
        <v>83</v>
      </c>
      <c r="B69" s="151"/>
      <c r="C69" s="149">
        <f>C67</f>
        <v>29.29174197159869</v>
      </c>
      <c r="D69" s="149">
        <f>D67</f>
        <v>23.238830717656427</v>
      </c>
      <c r="E69" s="149">
        <f t="shared" ref="E69:I69" si="11">E67</f>
        <v>23.059943556698304</v>
      </c>
      <c r="F69" s="149">
        <f t="shared" si="11"/>
        <v>22.415710842224438</v>
      </c>
      <c r="G69" s="153">
        <f t="shared" si="4"/>
        <v>22.415710842224438</v>
      </c>
      <c r="H69" s="149">
        <f t="shared" si="11"/>
        <v>22.462242519402853</v>
      </c>
      <c r="I69" s="149">
        <f t="shared" si="11"/>
        <v>22.658277259128941</v>
      </c>
    </row>
    <row r="70" spans="1:9" ht="37.5" x14ac:dyDescent="0.2">
      <c r="A70" s="157" t="s">
        <v>64</v>
      </c>
      <c r="B70" s="151" t="s">
        <v>25</v>
      </c>
      <c r="C70" s="176">
        <v>755</v>
      </c>
      <c r="D70" s="149">
        <v>723</v>
      </c>
      <c r="E70" s="149">
        <v>747</v>
      </c>
      <c r="F70" s="149">
        <v>747</v>
      </c>
      <c r="G70" s="153">
        <f t="shared" si="4"/>
        <v>747</v>
      </c>
      <c r="H70" s="149">
        <v>747</v>
      </c>
      <c r="I70" s="149">
        <v>747</v>
      </c>
    </row>
    <row r="71" spans="1:9" ht="41.25" customHeight="1" x14ac:dyDescent="0.2">
      <c r="A71" s="131" t="s">
        <v>3</v>
      </c>
      <c r="B71" s="151" t="s">
        <v>11</v>
      </c>
      <c r="C71" s="149">
        <v>2515.1</v>
      </c>
      <c r="D71" s="149">
        <v>1782.5</v>
      </c>
      <c r="E71" s="149">
        <f>D71*103.3%</f>
        <v>1841.3224999999998</v>
      </c>
      <c r="F71" s="149">
        <f>E71*105.3%</f>
        <v>1938.9125924999996</v>
      </c>
      <c r="G71" s="153">
        <f t="shared" si="4"/>
        <v>1938.9125924999996</v>
      </c>
      <c r="H71" s="149">
        <f>G71*105.1%</f>
        <v>2037.7971347174994</v>
      </c>
      <c r="I71" s="149">
        <f>H71*105.3%</f>
        <v>2145.8003828575265</v>
      </c>
    </row>
    <row r="72" spans="1:9" ht="18.75" x14ac:dyDescent="0.2">
      <c r="A72" s="346" t="s">
        <v>96</v>
      </c>
      <c r="B72" s="346"/>
      <c r="C72" s="346"/>
      <c r="D72" s="346"/>
      <c r="E72" s="346"/>
      <c r="F72" s="346"/>
      <c r="G72" s="346"/>
      <c r="H72" s="346"/>
      <c r="I72" s="346"/>
    </row>
    <row r="73" spans="1:9" s="28" customFormat="1" ht="39" x14ac:dyDescent="0.2">
      <c r="A73" s="139" t="s">
        <v>97</v>
      </c>
      <c r="B73" s="122" t="s">
        <v>27</v>
      </c>
      <c r="C73" s="141">
        <v>50.5</v>
      </c>
      <c r="D73" s="141">
        <v>49.8</v>
      </c>
      <c r="E73" s="141">
        <v>49.1</v>
      </c>
      <c r="F73" s="141">
        <v>49.1</v>
      </c>
      <c r="G73" s="141">
        <v>49.1</v>
      </c>
      <c r="H73" s="141">
        <v>49.1</v>
      </c>
      <c r="I73" s="141">
        <v>49.1</v>
      </c>
    </row>
    <row r="74" spans="1:9" ht="78" x14ac:dyDescent="0.2">
      <c r="A74" s="139" t="s">
        <v>77</v>
      </c>
      <c r="B74" s="122" t="s">
        <v>27</v>
      </c>
      <c r="C74" s="141">
        <f>C76+C79+C80+C81+C82+C83+C84+C85+C86+C87+C88+C89+C90</f>
        <v>12.124999999999998</v>
      </c>
      <c r="D74" s="141">
        <f t="shared" ref="D74:I74" si="12">D76+D79+D80+D81+D82+D83+D84+D85+D86+D87+D88+D89+D90</f>
        <v>12.174999999999999</v>
      </c>
      <c r="E74" s="141">
        <f t="shared" si="12"/>
        <v>12.103999999999999</v>
      </c>
      <c r="F74" s="141">
        <f t="shared" si="12"/>
        <v>12.074999999999999</v>
      </c>
      <c r="G74" s="141">
        <f>F74</f>
        <v>12.074999999999999</v>
      </c>
      <c r="H74" s="141">
        <f t="shared" si="12"/>
        <v>12.125</v>
      </c>
      <c r="I74" s="141">
        <f t="shared" si="12"/>
        <v>12.12</v>
      </c>
    </row>
    <row r="75" spans="1:9" ht="19.5" x14ac:dyDescent="0.2">
      <c r="A75" s="139" t="s">
        <v>28</v>
      </c>
      <c r="B75" s="135"/>
      <c r="C75" s="143"/>
      <c r="D75" s="137"/>
      <c r="E75" s="137"/>
      <c r="F75" s="137"/>
      <c r="G75" s="136"/>
      <c r="H75" s="137"/>
      <c r="I75" s="143"/>
    </row>
    <row r="76" spans="1:9" ht="41.25" customHeight="1" x14ac:dyDescent="0.3">
      <c r="A76" s="160" t="s">
        <v>194</v>
      </c>
      <c r="B76" s="122" t="s">
        <v>27</v>
      </c>
      <c r="C76" s="143">
        <f>C77+C78</f>
        <v>1.92</v>
      </c>
      <c r="D76" s="149">
        <f t="shared" ref="D76:I76" si="13">D77+D78</f>
        <v>1.7830000000000001</v>
      </c>
      <c r="E76" s="149">
        <f t="shared" si="13"/>
        <v>1.653</v>
      </c>
      <c r="F76" s="149">
        <f t="shared" si="13"/>
        <v>1.6339999999999999</v>
      </c>
      <c r="G76" s="149">
        <f t="shared" ref="G76:G111" si="14">F76</f>
        <v>1.6339999999999999</v>
      </c>
      <c r="H76" s="149">
        <f t="shared" si="13"/>
        <v>1.6839999999999999</v>
      </c>
      <c r="I76" s="143">
        <f t="shared" si="13"/>
        <v>1.669</v>
      </c>
    </row>
    <row r="77" spans="1:9" s="123" customFormat="1" ht="56.25" x14ac:dyDescent="0.2">
      <c r="A77" s="144" t="s">
        <v>144</v>
      </c>
      <c r="B77" s="122" t="s">
        <v>27</v>
      </c>
      <c r="C77" s="143">
        <v>0.2</v>
      </c>
      <c r="D77" s="149">
        <v>0.16700000000000001</v>
      </c>
      <c r="E77" s="149">
        <v>0.115</v>
      </c>
      <c r="F77" s="149">
        <v>0.115</v>
      </c>
      <c r="G77" s="149">
        <f t="shared" si="14"/>
        <v>0.115</v>
      </c>
      <c r="H77" s="149">
        <v>0.115</v>
      </c>
      <c r="I77" s="143">
        <v>0.115</v>
      </c>
    </row>
    <row r="78" spans="1:9" s="123" customFormat="1" ht="18.75" x14ac:dyDescent="0.3">
      <c r="A78" s="159" t="s">
        <v>145</v>
      </c>
      <c r="B78" s="122" t="s">
        <v>27</v>
      </c>
      <c r="C78" s="143">
        <v>1.72</v>
      </c>
      <c r="D78" s="149">
        <v>1.6160000000000001</v>
      </c>
      <c r="E78" s="149">
        <v>1.538</v>
      </c>
      <c r="F78" s="149">
        <v>1.5189999999999999</v>
      </c>
      <c r="G78" s="149">
        <f t="shared" si="14"/>
        <v>1.5189999999999999</v>
      </c>
      <c r="H78" s="149">
        <v>1.569</v>
      </c>
      <c r="I78" s="143">
        <v>1.554</v>
      </c>
    </row>
    <row r="79" spans="1:9" s="28" customFormat="1" ht="18.75" x14ac:dyDescent="0.3">
      <c r="A79" s="159" t="s">
        <v>45</v>
      </c>
      <c r="B79" s="122" t="s">
        <v>27</v>
      </c>
      <c r="C79" s="143">
        <v>6.6000000000000003E-2</v>
      </c>
      <c r="D79" s="149">
        <v>6.5000000000000002E-2</v>
      </c>
      <c r="E79" s="149">
        <v>6.5000000000000002E-2</v>
      </c>
      <c r="F79" s="149">
        <v>6.5000000000000002E-2</v>
      </c>
      <c r="G79" s="149">
        <f t="shared" si="14"/>
        <v>6.5000000000000002E-2</v>
      </c>
      <c r="H79" s="149">
        <v>6.5000000000000002E-2</v>
      </c>
      <c r="I79" s="143">
        <v>6.5000000000000002E-2</v>
      </c>
    </row>
    <row r="80" spans="1:9" s="28" customFormat="1" ht="18.75" x14ac:dyDescent="0.3">
      <c r="A80" s="159" t="s">
        <v>46</v>
      </c>
      <c r="B80" s="122" t="s">
        <v>27</v>
      </c>
      <c r="C80" s="143">
        <v>0.89900000000000002</v>
      </c>
      <c r="D80" s="149">
        <v>0.94099999999999995</v>
      </c>
      <c r="E80" s="149">
        <v>0.81299999999999994</v>
      </c>
      <c r="F80" s="149">
        <v>0.81299999999999994</v>
      </c>
      <c r="G80" s="149">
        <f t="shared" si="14"/>
        <v>0.81299999999999994</v>
      </c>
      <c r="H80" s="149">
        <v>0.81299999999999994</v>
      </c>
      <c r="I80" s="143">
        <v>0.81299999999999994</v>
      </c>
    </row>
    <row r="81" spans="1:11" s="28" customFormat="1" ht="56.25" x14ac:dyDescent="0.2">
      <c r="A81" s="145" t="s">
        <v>146</v>
      </c>
      <c r="B81" s="122" t="s">
        <v>27</v>
      </c>
      <c r="C81" s="143">
        <v>0.56100000000000005</v>
      </c>
      <c r="D81" s="149">
        <v>0.58099999999999996</v>
      </c>
      <c r="E81" s="149">
        <v>0.63200000000000001</v>
      </c>
      <c r="F81" s="149">
        <v>0.63200000000000001</v>
      </c>
      <c r="G81" s="149">
        <f t="shared" si="14"/>
        <v>0.63200000000000001</v>
      </c>
      <c r="H81" s="149">
        <v>0.63200000000000001</v>
      </c>
      <c r="I81" s="143">
        <v>0.63200000000000001</v>
      </c>
    </row>
    <row r="82" spans="1:11" s="28" customFormat="1" ht="55.5" customHeight="1" x14ac:dyDescent="0.3">
      <c r="A82" s="161" t="s">
        <v>147</v>
      </c>
      <c r="B82" s="122" t="s">
        <v>27</v>
      </c>
      <c r="C82" s="143">
        <v>0.11</v>
      </c>
      <c r="D82" s="149">
        <v>0.11600000000000001</v>
      </c>
      <c r="E82" s="149">
        <v>0.11600000000000001</v>
      </c>
      <c r="F82" s="149">
        <v>0.11600000000000001</v>
      </c>
      <c r="G82" s="149">
        <f t="shared" si="14"/>
        <v>0.11600000000000001</v>
      </c>
      <c r="H82" s="149">
        <v>0.11600000000000001</v>
      </c>
      <c r="I82" s="143">
        <v>0.11600000000000001</v>
      </c>
    </row>
    <row r="83" spans="1:11" s="28" customFormat="1" ht="18.75" x14ac:dyDescent="0.3">
      <c r="A83" s="159" t="s">
        <v>17</v>
      </c>
      <c r="B83" s="122" t="s">
        <v>27</v>
      </c>
      <c r="C83" s="143">
        <v>0.58599999999999997</v>
      </c>
      <c r="D83" s="149">
        <v>0.496</v>
      </c>
      <c r="E83" s="149">
        <v>0.496</v>
      </c>
      <c r="F83" s="149">
        <v>0.496</v>
      </c>
      <c r="G83" s="149">
        <f t="shared" si="14"/>
        <v>0.496</v>
      </c>
      <c r="H83" s="149">
        <v>0.496</v>
      </c>
      <c r="I83" s="143">
        <v>0.496</v>
      </c>
    </row>
    <row r="84" spans="1:11" s="28" customFormat="1" ht="41.25" customHeight="1" x14ac:dyDescent="0.2">
      <c r="A84" s="144" t="s">
        <v>148</v>
      </c>
      <c r="B84" s="122" t="s">
        <v>27</v>
      </c>
      <c r="C84" s="143">
        <v>0.59699999999999998</v>
      </c>
      <c r="D84" s="149">
        <v>0.60799999999999998</v>
      </c>
      <c r="E84" s="149">
        <v>0.60099999999999998</v>
      </c>
      <c r="F84" s="149">
        <v>0.60099999999999998</v>
      </c>
      <c r="G84" s="149">
        <f t="shared" si="14"/>
        <v>0.60099999999999998</v>
      </c>
      <c r="H84" s="149">
        <v>0.60099999999999998</v>
      </c>
      <c r="I84" s="143">
        <v>0.60099999999999998</v>
      </c>
    </row>
    <row r="85" spans="1:11" s="28" customFormat="1" ht="18.75" x14ac:dyDescent="0.2">
      <c r="A85" s="146" t="s">
        <v>175</v>
      </c>
      <c r="B85" s="122" t="s">
        <v>27</v>
      </c>
      <c r="C85" s="143">
        <v>1.6160000000000001</v>
      </c>
      <c r="D85" s="149">
        <v>2.2549999999999999</v>
      </c>
      <c r="E85" s="149">
        <v>2.4489999999999998</v>
      </c>
      <c r="F85" s="149">
        <v>2.4489999999999998</v>
      </c>
      <c r="G85" s="149">
        <f t="shared" si="14"/>
        <v>2.4489999999999998</v>
      </c>
      <c r="H85" s="149">
        <v>2.4489999999999998</v>
      </c>
      <c r="I85" s="143">
        <v>2.4489999999999998</v>
      </c>
      <c r="K85" s="182"/>
    </row>
    <row r="86" spans="1:11" s="28" customFormat="1" ht="37.5" x14ac:dyDescent="0.2">
      <c r="A86" s="145" t="s">
        <v>176</v>
      </c>
      <c r="B86" s="122" t="s">
        <v>27</v>
      </c>
      <c r="C86" s="143">
        <v>0.1</v>
      </c>
      <c r="D86" s="149">
        <v>0.1</v>
      </c>
      <c r="E86" s="149">
        <v>0.10100000000000001</v>
      </c>
      <c r="F86" s="149">
        <v>0.10100000000000001</v>
      </c>
      <c r="G86" s="149">
        <f t="shared" si="14"/>
        <v>0.10100000000000001</v>
      </c>
      <c r="H86" s="149">
        <v>0.10100000000000001</v>
      </c>
      <c r="I86" s="143">
        <v>0.10100000000000001</v>
      </c>
      <c r="J86" s="165"/>
      <c r="K86" s="182"/>
    </row>
    <row r="87" spans="1:11" ht="56.25" x14ac:dyDescent="0.2">
      <c r="A87" s="163" t="s">
        <v>44</v>
      </c>
      <c r="B87" s="164" t="s">
        <v>27</v>
      </c>
      <c r="C87" s="143">
        <v>0.97699999999999998</v>
      </c>
      <c r="D87" s="149">
        <v>0.97799999999999998</v>
      </c>
      <c r="E87" s="149">
        <v>0.97099999999999997</v>
      </c>
      <c r="F87" s="149">
        <v>0.97099999999999997</v>
      </c>
      <c r="G87" s="149">
        <f t="shared" si="14"/>
        <v>0.97099999999999997</v>
      </c>
      <c r="H87" s="149">
        <v>0.97099999999999997</v>
      </c>
      <c r="I87" s="143">
        <v>0.97099999999999997</v>
      </c>
      <c r="K87" s="183"/>
    </row>
    <row r="88" spans="1:11" s="28" customFormat="1" ht="18.75" x14ac:dyDescent="0.3">
      <c r="A88" s="159" t="s">
        <v>48</v>
      </c>
      <c r="B88" s="122" t="s">
        <v>27</v>
      </c>
      <c r="C88" s="143">
        <v>2.1930000000000001</v>
      </c>
      <c r="D88" s="149">
        <v>2.2869999999999999</v>
      </c>
      <c r="E88" s="149">
        <v>2.2679999999999998</v>
      </c>
      <c r="F88" s="149">
        <v>2.2679999999999998</v>
      </c>
      <c r="G88" s="149">
        <f t="shared" si="14"/>
        <v>2.2679999999999998</v>
      </c>
      <c r="H88" s="149">
        <v>2.2679999999999998</v>
      </c>
      <c r="I88" s="143">
        <v>2.2679999999999998</v>
      </c>
    </row>
    <row r="89" spans="1:11" s="28" customFormat="1" ht="18.75" x14ac:dyDescent="0.3">
      <c r="A89" s="159" t="s">
        <v>49</v>
      </c>
      <c r="B89" s="122" t="s">
        <v>27</v>
      </c>
      <c r="C89" s="143">
        <v>1.23</v>
      </c>
      <c r="D89" s="149">
        <v>0.80100000000000005</v>
      </c>
      <c r="E89" s="149">
        <v>0.78600000000000003</v>
      </c>
      <c r="F89" s="149">
        <v>0.78600000000000003</v>
      </c>
      <c r="G89" s="149">
        <f t="shared" si="14"/>
        <v>0.78600000000000003</v>
      </c>
      <c r="H89" s="149">
        <v>0.78600000000000003</v>
      </c>
      <c r="I89" s="143">
        <v>0.78600000000000003</v>
      </c>
    </row>
    <row r="90" spans="1:11" s="28" customFormat="1" ht="18.75" x14ac:dyDescent="0.3">
      <c r="A90" s="159" t="s">
        <v>51</v>
      </c>
      <c r="B90" s="122" t="s">
        <v>27</v>
      </c>
      <c r="C90" s="149">
        <v>1.27</v>
      </c>
      <c r="D90" s="149">
        <v>1.1639999999999999</v>
      </c>
      <c r="E90" s="149">
        <v>1.153</v>
      </c>
      <c r="F90" s="149">
        <v>1.143</v>
      </c>
      <c r="G90" s="149">
        <f t="shared" si="14"/>
        <v>1.143</v>
      </c>
      <c r="H90" s="149">
        <v>1.143</v>
      </c>
      <c r="I90" s="143">
        <v>1.153</v>
      </c>
    </row>
    <row r="91" spans="1:11" ht="93.75" x14ac:dyDescent="0.3">
      <c r="A91" s="166" t="s">
        <v>55</v>
      </c>
      <c r="B91" s="122" t="s">
        <v>27</v>
      </c>
      <c r="C91" s="169">
        <v>0.93</v>
      </c>
      <c r="D91" s="149">
        <f>D93+D94+D95+D96+D97</f>
        <v>1.0154000000000001</v>
      </c>
      <c r="E91" s="149">
        <f t="shared" ref="E91:I91" si="15">E93+E94+E95+E96+E97</f>
        <v>1.0390000000000001</v>
      </c>
      <c r="F91" s="149">
        <f t="shared" si="15"/>
        <v>1.0390000000000001</v>
      </c>
      <c r="G91" s="149">
        <f t="shared" si="14"/>
        <v>1.0390000000000001</v>
      </c>
      <c r="H91" s="149">
        <f t="shared" si="15"/>
        <v>1.0390000000000001</v>
      </c>
      <c r="I91" s="143">
        <f t="shared" si="15"/>
        <v>1.038</v>
      </c>
    </row>
    <row r="92" spans="1:11" ht="18.75" x14ac:dyDescent="0.3">
      <c r="A92" s="166" t="s">
        <v>50</v>
      </c>
      <c r="B92" s="122"/>
      <c r="C92" s="143"/>
      <c r="D92" s="143"/>
      <c r="E92" s="143"/>
      <c r="F92" s="143"/>
      <c r="G92" s="149">
        <f t="shared" si="14"/>
        <v>0</v>
      </c>
      <c r="H92" s="143"/>
      <c r="I92" s="143"/>
    </row>
    <row r="93" spans="1:11" ht="18.75" x14ac:dyDescent="0.2">
      <c r="A93" s="145" t="s">
        <v>48</v>
      </c>
      <c r="B93" s="122" t="s">
        <v>27</v>
      </c>
      <c r="C93" s="143">
        <v>7.5999999999999998E-2</v>
      </c>
      <c r="D93" s="143">
        <v>0.1396</v>
      </c>
      <c r="E93" s="143">
        <v>0.1396</v>
      </c>
      <c r="F93" s="143">
        <v>0.1396</v>
      </c>
      <c r="G93" s="149">
        <f t="shared" si="14"/>
        <v>0.1396</v>
      </c>
      <c r="H93" s="143">
        <v>0.1396</v>
      </c>
      <c r="I93" s="143">
        <v>0.1396</v>
      </c>
    </row>
    <row r="94" spans="1:11" ht="18.75" x14ac:dyDescent="0.2">
      <c r="A94" s="146" t="s">
        <v>206</v>
      </c>
      <c r="B94" s="122" t="s">
        <v>27</v>
      </c>
      <c r="C94" s="143">
        <v>0.156</v>
      </c>
      <c r="D94" s="143">
        <v>0.159</v>
      </c>
      <c r="E94" s="143">
        <v>0.1615</v>
      </c>
      <c r="F94" s="143">
        <v>0.1615</v>
      </c>
      <c r="G94" s="149">
        <f t="shared" si="14"/>
        <v>0.1615</v>
      </c>
      <c r="H94" s="143">
        <v>0.1615</v>
      </c>
      <c r="I94" s="143">
        <v>0.1615</v>
      </c>
    </row>
    <row r="95" spans="1:11" ht="18.75" x14ac:dyDescent="0.2">
      <c r="A95" s="146" t="s">
        <v>207</v>
      </c>
      <c r="B95" s="122" t="s">
        <v>26</v>
      </c>
      <c r="C95" s="143">
        <v>7.3999999999999996E-2</v>
      </c>
      <c r="D95" s="143">
        <v>6.9000000000000006E-2</v>
      </c>
      <c r="E95" s="143">
        <v>6.9000000000000006E-2</v>
      </c>
      <c r="F95" s="143">
        <v>6.9000000000000006E-2</v>
      </c>
      <c r="G95" s="149">
        <f t="shared" si="14"/>
        <v>6.9000000000000006E-2</v>
      </c>
      <c r="H95" s="143">
        <v>6.9000000000000006E-2</v>
      </c>
      <c r="I95" s="143">
        <v>6.9000000000000006E-2</v>
      </c>
    </row>
    <row r="96" spans="1:11" ht="18.75" x14ac:dyDescent="0.2">
      <c r="A96" s="146" t="s">
        <v>51</v>
      </c>
      <c r="B96" s="122" t="s">
        <v>26</v>
      </c>
      <c r="C96" s="143">
        <v>0.12</v>
      </c>
      <c r="D96" s="143">
        <v>0.1195</v>
      </c>
      <c r="E96" s="143">
        <v>0.1195</v>
      </c>
      <c r="F96" s="143">
        <v>0.1195</v>
      </c>
      <c r="G96" s="149">
        <f t="shared" si="14"/>
        <v>0.1195</v>
      </c>
      <c r="H96" s="143">
        <v>0.1195</v>
      </c>
      <c r="I96" s="143">
        <v>0.1195</v>
      </c>
    </row>
    <row r="97" spans="1:9" ht="18.75" x14ac:dyDescent="0.2">
      <c r="A97" s="146" t="s">
        <v>208</v>
      </c>
      <c r="B97" s="122" t="s">
        <v>26</v>
      </c>
      <c r="C97" s="143">
        <v>0.5</v>
      </c>
      <c r="D97" s="143">
        <v>0.52829999999999999</v>
      </c>
      <c r="E97" s="143">
        <v>0.5494</v>
      </c>
      <c r="F97" s="143">
        <v>0.5494</v>
      </c>
      <c r="G97" s="149">
        <f t="shared" si="14"/>
        <v>0.5494</v>
      </c>
      <c r="H97" s="143">
        <v>0.5494</v>
      </c>
      <c r="I97" s="143">
        <v>0.5484</v>
      </c>
    </row>
    <row r="98" spans="1:9" s="28" customFormat="1" ht="75" x14ac:dyDescent="0.3">
      <c r="A98" s="167" t="s">
        <v>76</v>
      </c>
      <c r="B98" s="122" t="s">
        <v>27</v>
      </c>
      <c r="C98" s="143">
        <f>C101+C102+C103+C104+C105+C106+C107+C108+C109+C110+C111</f>
        <v>1.4832000000000001</v>
      </c>
      <c r="D98" s="143">
        <f t="shared" ref="D98:I98" si="16">D101+D102+D103+D104+D105+D106+D107+D108+D109+D110+D111</f>
        <v>1.2471000000000001</v>
      </c>
      <c r="E98" s="143">
        <f t="shared" si="16"/>
        <v>1.2471000000000001</v>
      </c>
      <c r="F98" s="143">
        <f t="shared" si="16"/>
        <v>1.2471000000000001</v>
      </c>
      <c r="G98" s="149">
        <f t="shared" si="14"/>
        <v>1.2471000000000001</v>
      </c>
      <c r="H98" s="143">
        <f t="shared" si="16"/>
        <v>1.2471000000000001</v>
      </c>
      <c r="I98" s="143">
        <f t="shared" si="16"/>
        <v>1.2471000000000001</v>
      </c>
    </row>
    <row r="99" spans="1:9" s="28" customFormat="1" ht="19.5" x14ac:dyDescent="0.2">
      <c r="A99" s="139" t="s">
        <v>28</v>
      </c>
      <c r="B99" s="122"/>
      <c r="C99" s="143"/>
      <c r="D99" s="143"/>
      <c r="E99" s="143"/>
      <c r="F99" s="143"/>
      <c r="G99" s="149">
        <f t="shared" si="14"/>
        <v>0</v>
      </c>
      <c r="H99" s="143"/>
      <c r="I99" s="143"/>
    </row>
    <row r="100" spans="1:9" s="28" customFormat="1" ht="39" customHeight="1" x14ac:dyDescent="0.3">
      <c r="A100" s="160" t="s">
        <v>194</v>
      </c>
      <c r="B100" s="122" t="s">
        <v>27</v>
      </c>
      <c r="C100" s="143">
        <f>C101+C102</f>
        <v>0.53</v>
      </c>
      <c r="D100" s="143">
        <f t="shared" ref="D100:I100" si="17">D101+D102</f>
        <v>0.29399999999999998</v>
      </c>
      <c r="E100" s="143">
        <f t="shared" si="17"/>
        <v>0.29399999999999998</v>
      </c>
      <c r="F100" s="143">
        <f t="shared" si="17"/>
        <v>0.29399999999999998</v>
      </c>
      <c r="G100" s="149">
        <f t="shared" si="14"/>
        <v>0.29399999999999998</v>
      </c>
      <c r="H100" s="143">
        <f t="shared" si="17"/>
        <v>0.29399999999999998</v>
      </c>
      <c r="I100" s="143">
        <f t="shared" si="17"/>
        <v>0.29399999999999998</v>
      </c>
    </row>
    <row r="101" spans="1:9" s="28" customFormat="1" ht="56.25" x14ac:dyDescent="0.2">
      <c r="A101" s="144" t="s">
        <v>144</v>
      </c>
      <c r="B101" s="122" t="s">
        <v>26</v>
      </c>
      <c r="C101" s="143">
        <v>0.16</v>
      </c>
      <c r="D101" s="143">
        <v>0.115</v>
      </c>
      <c r="E101" s="143">
        <v>0.115</v>
      </c>
      <c r="F101" s="143">
        <v>0.115</v>
      </c>
      <c r="G101" s="149">
        <f t="shared" si="14"/>
        <v>0.115</v>
      </c>
      <c r="H101" s="143">
        <v>0.115</v>
      </c>
      <c r="I101" s="143">
        <v>0.115</v>
      </c>
    </row>
    <row r="102" spans="1:9" s="28" customFormat="1" ht="18.75" x14ac:dyDescent="0.3">
      <c r="A102" s="159" t="s">
        <v>145</v>
      </c>
      <c r="B102" s="122" t="s">
        <v>27</v>
      </c>
      <c r="C102" s="143">
        <v>0.37</v>
      </c>
      <c r="D102" s="143">
        <v>0.17899999999999999</v>
      </c>
      <c r="E102" s="143">
        <v>0.17899999999999999</v>
      </c>
      <c r="F102" s="143">
        <v>0.17899999999999999</v>
      </c>
      <c r="G102" s="149">
        <f t="shared" si="14"/>
        <v>0.17899999999999999</v>
      </c>
      <c r="H102" s="143">
        <v>0.17899999999999999</v>
      </c>
      <c r="I102" s="143">
        <v>0.17899999999999999</v>
      </c>
    </row>
    <row r="103" spans="1:9" s="28" customFormat="1" ht="18.75" x14ac:dyDescent="0.2">
      <c r="A103" s="146" t="s">
        <v>45</v>
      </c>
      <c r="B103" s="122" t="s">
        <v>27</v>
      </c>
      <c r="C103" s="143">
        <v>2.29E-2</v>
      </c>
      <c r="D103" s="143">
        <v>2.1999999999999999E-2</v>
      </c>
      <c r="E103" s="143">
        <v>2.1999999999999999E-2</v>
      </c>
      <c r="F103" s="143">
        <v>2.1999999999999999E-2</v>
      </c>
      <c r="G103" s="149">
        <f t="shared" si="14"/>
        <v>2.1999999999999999E-2</v>
      </c>
      <c r="H103" s="143">
        <v>2.1999999999999999E-2</v>
      </c>
      <c r="I103" s="143">
        <v>2.1999999999999999E-2</v>
      </c>
    </row>
    <row r="104" spans="1:9" s="28" customFormat="1" ht="18.75" x14ac:dyDescent="0.3">
      <c r="A104" s="159" t="s">
        <v>46</v>
      </c>
      <c r="B104" s="122" t="s">
        <v>26</v>
      </c>
      <c r="C104" s="143">
        <v>1.7999999999999999E-2</v>
      </c>
      <c r="D104" s="143">
        <v>1.7999999999999999E-2</v>
      </c>
      <c r="E104" s="143">
        <v>1.7999999999999999E-2</v>
      </c>
      <c r="F104" s="143">
        <v>1.7999999999999999E-2</v>
      </c>
      <c r="G104" s="149">
        <f t="shared" si="14"/>
        <v>1.7999999999999999E-2</v>
      </c>
      <c r="H104" s="143">
        <v>1.7999999999999999E-2</v>
      </c>
      <c r="I104" s="143">
        <v>1.7999999999999999E-2</v>
      </c>
    </row>
    <row r="105" spans="1:9" s="28" customFormat="1" ht="56.25" x14ac:dyDescent="0.2">
      <c r="A105" s="145" t="s">
        <v>146</v>
      </c>
      <c r="B105" s="122" t="s">
        <v>26</v>
      </c>
      <c r="C105" s="143">
        <v>3.0499999999999999E-2</v>
      </c>
      <c r="D105" s="143">
        <v>3.0499999999999999E-2</v>
      </c>
      <c r="E105" s="143">
        <v>3.0499999999999999E-2</v>
      </c>
      <c r="F105" s="143">
        <v>3.0499999999999999E-2</v>
      </c>
      <c r="G105" s="149">
        <f t="shared" si="14"/>
        <v>3.0499999999999999E-2</v>
      </c>
      <c r="H105" s="143">
        <v>3.0499999999999999E-2</v>
      </c>
      <c r="I105" s="143">
        <v>3.0499999999999999E-2</v>
      </c>
    </row>
    <row r="106" spans="1:9" s="28" customFormat="1" ht="60" customHeight="1" x14ac:dyDescent="0.3">
      <c r="A106" s="161" t="s">
        <v>147</v>
      </c>
      <c r="B106" s="122" t="s">
        <v>26</v>
      </c>
      <c r="C106" s="143">
        <v>0</v>
      </c>
      <c r="D106" s="143">
        <v>0</v>
      </c>
      <c r="E106" s="143">
        <v>0</v>
      </c>
      <c r="F106" s="143">
        <v>0</v>
      </c>
      <c r="G106" s="149">
        <f t="shared" si="14"/>
        <v>0</v>
      </c>
      <c r="H106" s="143">
        <v>0</v>
      </c>
      <c r="I106" s="143">
        <v>0</v>
      </c>
    </row>
    <row r="107" spans="1:9" s="28" customFormat="1" ht="18.75" x14ac:dyDescent="0.3">
      <c r="A107" s="159" t="s">
        <v>17</v>
      </c>
      <c r="B107" s="122" t="s">
        <v>26</v>
      </c>
      <c r="C107" s="143">
        <v>0.14369999999999999</v>
      </c>
      <c r="D107" s="143">
        <v>0.14369999999999999</v>
      </c>
      <c r="E107" s="143">
        <v>0.14369999999999999</v>
      </c>
      <c r="F107" s="143">
        <v>0.14369999999999999</v>
      </c>
      <c r="G107" s="149">
        <f t="shared" si="14"/>
        <v>0.14369999999999999</v>
      </c>
      <c r="H107" s="143">
        <v>0.14369999999999999</v>
      </c>
      <c r="I107" s="143">
        <v>0.14369999999999999</v>
      </c>
    </row>
    <row r="108" spans="1:9" s="28" customFormat="1" ht="43.5" customHeight="1" x14ac:dyDescent="0.3">
      <c r="A108" s="161" t="s">
        <v>148</v>
      </c>
      <c r="B108" s="122" t="s">
        <v>26</v>
      </c>
      <c r="C108" s="143">
        <v>0.39050000000000001</v>
      </c>
      <c r="D108" s="143">
        <v>0.39050000000000001</v>
      </c>
      <c r="E108" s="143">
        <v>0.39050000000000001</v>
      </c>
      <c r="F108" s="143">
        <v>0.39050000000000001</v>
      </c>
      <c r="G108" s="149">
        <f t="shared" si="14"/>
        <v>0.39050000000000001</v>
      </c>
      <c r="H108" s="143">
        <v>0.39050000000000001</v>
      </c>
      <c r="I108" s="143">
        <v>0.39050000000000001</v>
      </c>
    </row>
    <row r="109" spans="1:9" s="28" customFormat="1" ht="18.75" x14ac:dyDescent="0.2">
      <c r="A109" s="146" t="s">
        <v>175</v>
      </c>
      <c r="B109" s="122" t="s">
        <v>26</v>
      </c>
      <c r="C109" s="143">
        <v>5.8400000000000001E-2</v>
      </c>
      <c r="D109" s="143">
        <v>5.8400000000000001E-2</v>
      </c>
      <c r="E109" s="143">
        <v>5.8400000000000001E-2</v>
      </c>
      <c r="F109" s="143">
        <v>5.8400000000000001E-2</v>
      </c>
      <c r="G109" s="149">
        <f t="shared" si="14"/>
        <v>5.8400000000000001E-2</v>
      </c>
      <c r="H109" s="143">
        <v>5.8400000000000001E-2</v>
      </c>
      <c r="I109" s="143">
        <v>5.8400000000000001E-2</v>
      </c>
    </row>
    <row r="110" spans="1:9" s="28" customFormat="1" ht="37.5" x14ac:dyDescent="0.2">
      <c r="A110" s="145" t="s">
        <v>176</v>
      </c>
      <c r="B110" s="122" t="s">
        <v>26</v>
      </c>
      <c r="C110" s="143"/>
      <c r="D110" s="143"/>
      <c r="E110" s="143"/>
      <c r="F110" s="143"/>
      <c r="G110" s="149">
        <f t="shared" si="14"/>
        <v>0</v>
      </c>
      <c r="H110" s="143"/>
      <c r="I110" s="143"/>
    </row>
    <row r="111" spans="1:9" s="28" customFormat="1" ht="18.75" x14ac:dyDescent="0.3">
      <c r="A111" s="159" t="s">
        <v>51</v>
      </c>
      <c r="B111" s="122" t="s">
        <v>26</v>
      </c>
      <c r="C111" s="143">
        <v>0.28920000000000001</v>
      </c>
      <c r="D111" s="143">
        <v>0.28999999999999998</v>
      </c>
      <c r="E111" s="143">
        <v>0.28999999999999998</v>
      </c>
      <c r="F111" s="143">
        <v>0.28999999999999998</v>
      </c>
      <c r="G111" s="149">
        <f t="shared" si="14"/>
        <v>0.28999999999999998</v>
      </c>
      <c r="H111" s="143">
        <v>0.28999999999999998</v>
      </c>
      <c r="I111" s="143">
        <v>0.28999999999999998</v>
      </c>
    </row>
    <row r="112" spans="1:9" ht="58.5" x14ac:dyDescent="0.2">
      <c r="A112" s="179" t="s">
        <v>98</v>
      </c>
      <c r="B112" s="122" t="s">
        <v>13</v>
      </c>
      <c r="C112" s="121">
        <v>1.64</v>
      </c>
      <c r="D112" s="121">
        <v>4.3</v>
      </c>
      <c r="E112" s="121">
        <v>2.4</v>
      </c>
      <c r="F112" s="121">
        <v>2.4</v>
      </c>
      <c r="G112" s="121">
        <v>2.4</v>
      </c>
      <c r="H112" s="121">
        <v>2.4</v>
      </c>
      <c r="I112" s="121">
        <v>2.4</v>
      </c>
    </row>
    <row r="113" spans="1:12" s="28" customFormat="1" ht="78" x14ac:dyDescent="0.2">
      <c r="A113" s="139" t="s">
        <v>80</v>
      </c>
      <c r="B113" s="122" t="s">
        <v>14</v>
      </c>
      <c r="C113" s="141">
        <v>48285.88</v>
      </c>
      <c r="D113" s="141">
        <v>51489.39</v>
      </c>
      <c r="E113" s="141">
        <v>52866.02</v>
      </c>
      <c r="F113" s="141">
        <v>55039.64</v>
      </c>
      <c r="G113" s="121">
        <f t="shared" ref="G113:G140" si="18">F113</f>
        <v>55039.64</v>
      </c>
      <c r="H113" s="141">
        <v>57762.41</v>
      </c>
      <c r="I113" s="141">
        <v>59950.62</v>
      </c>
    </row>
    <row r="114" spans="1:12" s="28" customFormat="1" ht="19.5" x14ac:dyDescent="0.2">
      <c r="A114" s="139" t="s">
        <v>28</v>
      </c>
      <c r="B114" s="122"/>
      <c r="C114" s="143"/>
      <c r="D114" s="143"/>
      <c r="E114" s="143"/>
      <c r="F114" s="143"/>
      <c r="G114" s="149">
        <f t="shared" si="18"/>
        <v>0</v>
      </c>
      <c r="H114" s="143"/>
      <c r="I114" s="143"/>
    </row>
    <row r="115" spans="1:12" s="28" customFormat="1" ht="38.25" customHeight="1" x14ac:dyDescent="0.3">
      <c r="A115" s="160" t="s">
        <v>143</v>
      </c>
      <c r="B115" s="122" t="s">
        <v>14</v>
      </c>
      <c r="C115" s="143">
        <v>56216.78</v>
      </c>
      <c r="D115" s="143">
        <v>63650.5</v>
      </c>
      <c r="E115" s="143">
        <v>64363.92</v>
      </c>
      <c r="F115" s="143">
        <v>68207.789999999994</v>
      </c>
      <c r="G115" s="149">
        <f t="shared" si="18"/>
        <v>68207.789999999994</v>
      </c>
      <c r="H115" s="143">
        <v>74049.820000000007</v>
      </c>
      <c r="I115" s="143">
        <v>76386.48</v>
      </c>
    </row>
    <row r="116" spans="1:12" s="28" customFormat="1" ht="56.25" x14ac:dyDescent="0.2">
      <c r="A116" s="145" t="s">
        <v>144</v>
      </c>
      <c r="B116" s="122" t="s">
        <v>14</v>
      </c>
      <c r="C116" s="143">
        <v>18319.87</v>
      </c>
      <c r="D116" s="143">
        <v>41131.08</v>
      </c>
      <c r="E116" s="143">
        <v>48040.58</v>
      </c>
      <c r="F116" s="143">
        <v>48040.58</v>
      </c>
      <c r="G116" s="149">
        <f t="shared" si="18"/>
        <v>48040.58</v>
      </c>
      <c r="H116" s="143">
        <v>49962.2</v>
      </c>
      <c r="I116" s="143">
        <v>51960.69</v>
      </c>
    </row>
    <row r="117" spans="1:12" s="28" customFormat="1" ht="18.75" x14ac:dyDescent="0.3">
      <c r="A117" s="159" t="s">
        <v>145</v>
      </c>
      <c r="B117" s="122" t="s">
        <v>14</v>
      </c>
      <c r="C117" s="143">
        <v>60803.27</v>
      </c>
      <c r="D117" s="143">
        <v>65980.62</v>
      </c>
      <c r="E117" s="143">
        <v>65584.460000000006</v>
      </c>
      <c r="F117" s="143">
        <v>69734.600000000006</v>
      </c>
      <c r="G117" s="149">
        <f t="shared" si="18"/>
        <v>69734.600000000006</v>
      </c>
      <c r="H117" s="143">
        <v>75815.320000000007</v>
      </c>
      <c r="I117" s="143">
        <v>78194.05</v>
      </c>
    </row>
    <row r="118" spans="1:12" s="28" customFormat="1" ht="18.75" x14ac:dyDescent="0.3">
      <c r="A118" s="159" t="s">
        <v>45</v>
      </c>
      <c r="B118" s="122" t="s">
        <v>14</v>
      </c>
      <c r="C118" s="143">
        <v>43571.83</v>
      </c>
      <c r="D118" s="143">
        <v>46564.22</v>
      </c>
      <c r="E118" s="143">
        <v>46564.22</v>
      </c>
      <c r="F118" s="143">
        <v>48124.77</v>
      </c>
      <c r="G118" s="149">
        <f t="shared" si="18"/>
        <v>48124.77</v>
      </c>
      <c r="H118" s="143">
        <v>50049.760000000002</v>
      </c>
      <c r="I118" s="143">
        <v>52051.75</v>
      </c>
    </row>
    <row r="119" spans="1:12" s="28" customFormat="1" ht="18.75" x14ac:dyDescent="0.3">
      <c r="A119" s="159" t="s">
        <v>46</v>
      </c>
      <c r="B119" s="122" t="s">
        <v>14</v>
      </c>
      <c r="C119" s="143">
        <v>49896.26</v>
      </c>
      <c r="D119" s="143">
        <v>50428.99</v>
      </c>
      <c r="E119" s="143">
        <v>54767.15</v>
      </c>
      <c r="F119" s="143">
        <v>56938.85</v>
      </c>
      <c r="G119" s="149">
        <f t="shared" si="18"/>
        <v>56938.85</v>
      </c>
      <c r="H119" s="143">
        <v>59216.4</v>
      </c>
      <c r="I119" s="143">
        <v>61585.06</v>
      </c>
    </row>
    <row r="120" spans="1:12" s="28" customFormat="1" ht="56.25" x14ac:dyDescent="0.2">
      <c r="A120" s="145" t="s">
        <v>146</v>
      </c>
      <c r="B120" s="122" t="s">
        <v>14</v>
      </c>
      <c r="C120" s="143">
        <v>43598.54</v>
      </c>
      <c r="D120" s="143">
        <v>46861.04</v>
      </c>
      <c r="E120" s="143">
        <v>51335.87</v>
      </c>
      <c r="F120" s="143">
        <v>53347.96</v>
      </c>
      <c r="G120" s="149">
        <f t="shared" si="18"/>
        <v>53347.96</v>
      </c>
      <c r="H120" s="143">
        <v>55481.88</v>
      </c>
      <c r="I120" s="143">
        <v>57701.16</v>
      </c>
    </row>
    <row r="121" spans="1:12" s="28" customFormat="1" ht="63" customHeight="1" x14ac:dyDescent="0.3">
      <c r="A121" s="161" t="s">
        <v>147</v>
      </c>
      <c r="B121" s="122" t="s">
        <v>14</v>
      </c>
      <c r="C121" s="143">
        <v>25141.200000000001</v>
      </c>
      <c r="D121" s="143">
        <v>28184.63</v>
      </c>
      <c r="E121" s="143">
        <v>29396.57</v>
      </c>
      <c r="F121" s="143">
        <v>30572.43</v>
      </c>
      <c r="G121" s="149">
        <f t="shared" si="18"/>
        <v>30572.43</v>
      </c>
      <c r="H121" s="143">
        <v>31795.33</v>
      </c>
      <c r="I121" s="143">
        <v>33067.14</v>
      </c>
      <c r="L121" s="115"/>
    </row>
    <row r="122" spans="1:12" s="28" customFormat="1" ht="18.75" x14ac:dyDescent="0.2">
      <c r="A122" s="145" t="s">
        <v>17</v>
      </c>
      <c r="B122" s="122" t="s">
        <v>14</v>
      </c>
      <c r="C122" s="143">
        <v>58689.21</v>
      </c>
      <c r="D122" s="143">
        <v>57262.11</v>
      </c>
      <c r="E122" s="143">
        <v>59284.3</v>
      </c>
      <c r="F122" s="143">
        <v>61246.83</v>
      </c>
      <c r="G122" s="143">
        <f t="shared" si="18"/>
        <v>61246.83</v>
      </c>
      <c r="H122" s="143">
        <v>63696.7</v>
      </c>
      <c r="I122" s="143">
        <v>66244.570000000007</v>
      </c>
    </row>
    <row r="123" spans="1:12" s="28" customFormat="1" ht="38.25" customHeight="1" x14ac:dyDescent="0.3">
      <c r="A123" s="160" t="s">
        <v>148</v>
      </c>
      <c r="B123" s="122" t="s">
        <v>14</v>
      </c>
      <c r="C123" s="143">
        <v>26400.43</v>
      </c>
      <c r="D123" s="143">
        <v>25994.53</v>
      </c>
      <c r="E123" s="143">
        <v>26451.78</v>
      </c>
      <c r="F123" s="143">
        <v>26949.34</v>
      </c>
      <c r="G123" s="143">
        <f t="shared" si="18"/>
        <v>26949.34</v>
      </c>
      <c r="H123" s="143">
        <v>28027.32</v>
      </c>
      <c r="I123" s="143">
        <v>29148.41</v>
      </c>
    </row>
    <row r="124" spans="1:12" s="171" customFormat="1" ht="18.75" x14ac:dyDescent="0.2">
      <c r="A124" s="168" t="s">
        <v>175</v>
      </c>
      <c r="B124" s="168" t="s">
        <v>14</v>
      </c>
      <c r="C124" s="169">
        <v>68766.289999999994</v>
      </c>
      <c r="D124" s="169">
        <v>66597.42</v>
      </c>
      <c r="E124" s="169">
        <v>65214.97</v>
      </c>
      <c r="F124" s="169">
        <v>67803.11</v>
      </c>
      <c r="G124" s="169">
        <f t="shared" si="18"/>
        <v>67803.11</v>
      </c>
      <c r="H124" s="170">
        <v>70782.679999999993</v>
      </c>
      <c r="I124" s="170">
        <v>73612.59</v>
      </c>
    </row>
    <row r="125" spans="1:12" s="28" customFormat="1" ht="37.5" x14ac:dyDescent="0.2">
      <c r="A125" s="145" t="s">
        <v>176</v>
      </c>
      <c r="B125" s="122" t="s">
        <v>14</v>
      </c>
      <c r="C125" s="143">
        <v>63129.9</v>
      </c>
      <c r="D125" s="143">
        <v>66799.570000000007</v>
      </c>
      <c r="E125" s="143">
        <v>68523.8</v>
      </c>
      <c r="F125" s="143">
        <v>71264.75</v>
      </c>
      <c r="G125" s="143">
        <f t="shared" si="18"/>
        <v>71264.75</v>
      </c>
      <c r="H125" s="143">
        <v>74115.34</v>
      </c>
      <c r="I125" s="143">
        <v>77079.95</v>
      </c>
    </row>
    <row r="126" spans="1:12" s="28" customFormat="1" ht="56.25" x14ac:dyDescent="0.3">
      <c r="A126" s="160" t="s">
        <v>44</v>
      </c>
      <c r="B126" s="122" t="s">
        <v>14</v>
      </c>
      <c r="C126" s="143">
        <v>48515.49</v>
      </c>
      <c r="D126" s="143">
        <v>52447.81</v>
      </c>
      <c r="E126" s="143">
        <v>54131.32</v>
      </c>
      <c r="F126" s="143">
        <v>56296.55</v>
      </c>
      <c r="G126" s="143">
        <f t="shared" si="18"/>
        <v>56296.55</v>
      </c>
      <c r="H126" s="143">
        <v>58548.41</v>
      </c>
      <c r="I126" s="143">
        <v>60890.35</v>
      </c>
    </row>
    <row r="127" spans="1:12" s="28" customFormat="1" ht="18.75" x14ac:dyDescent="0.3">
      <c r="A127" s="161" t="s">
        <v>48</v>
      </c>
      <c r="B127" s="122" t="s">
        <v>14</v>
      </c>
      <c r="C127" s="143">
        <v>37153.35</v>
      </c>
      <c r="D127" s="143">
        <v>40426.97</v>
      </c>
      <c r="E127" s="143">
        <v>43110.82</v>
      </c>
      <c r="F127" s="143">
        <v>44832.68</v>
      </c>
      <c r="G127" s="143">
        <f t="shared" si="18"/>
        <v>44832.68</v>
      </c>
      <c r="H127" s="143">
        <v>46626</v>
      </c>
      <c r="I127" s="143">
        <v>48491.040000000001</v>
      </c>
    </row>
    <row r="128" spans="1:12" s="28" customFormat="1" ht="37.5" x14ac:dyDescent="0.3">
      <c r="A128" s="161" t="s">
        <v>49</v>
      </c>
      <c r="B128" s="122" t="s">
        <v>14</v>
      </c>
      <c r="C128" s="143">
        <v>42186.31</v>
      </c>
      <c r="D128" s="143">
        <v>47050.36</v>
      </c>
      <c r="E128" s="143">
        <v>47835.8</v>
      </c>
      <c r="F128" s="143">
        <v>49992.58</v>
      </c>
      <c r="G128" s="143">
        <f t="shared" si="18"/>
        <v>49992.58</v>
      </c>
      <c r="H128" s="143">
        <v>52257.62</v>
      </c>
      <c r="I128" s="143">
        <v>54627.05</v>
      </c>
    </row>
    <row r="129" spans="1:18" s="28" customFormat="1" ht="18.75" x14ac:dyDescent="0.3">
      <c r="A129" s="159" t="s">
        <v>51</v>
      </c>
      <c r="B129" s="122" t="s">
        <v>14</v>
      </c>
      <c r="C129" s="143">
        <v>42701.96</v>
      </c>
      <c r="D129" s="143">
        <v>42894.66</v>
      </c>
      <c r="E129" s="143">
        <v>43535.75</v>
      </c>
      <c r="F129" s="143">
        <v>44696.97</v>
      </c>
      <c r="G129" s="143">
        <f t="shared" si="18"/>
        <v>44696.97</v>
      </c>
      <c r="H129" s="143">
        <v>46079.14</v>
      </c>
      <c r="I129" s="143">
        <v>47575.29</v>
      </c>
    </row>
    <row r="130" spans="1:18" ht="94.5" customHeight="1" x14ac:dyDescent="0.3">
      <c r="A130" s="166" t="s">
        <v>123</v>
      </c>
      <c r="B130" s="122" t="s">
        <v>14</v>
      </c>
      <c r="C130" s="169">
        <v>34906.949999999997</v>
      </c>
      <c r="D130" s="143">
        <v>40021.4</v>
      </c>
      <c r="E130" s="143">
        <v>41836.550000000003</v>
      </c>
      <c r="F130" s="143">
        <v>43510</v>
      </c>
      <c r="G130" s="143">
        <f t="shared" si="18"/>
        <v>43510</v>
      </c>
      <c r="H130" s="143">
        <v>45250.400000000001</v>
      </c>
      <c r="I130" s="143">
        <v>47105.75</v>
      </c>
    </row>
    <row r="131" spans="1:18" ht="18.75" x14ac:dyDescent="0.3">
      <c r="A131" s="166" t="s">
        <v>122</v>
      </c>
      <c r="B131" s="122"/>
      <c r="C131" s="169"/>
      <c r="D131" s="143"/>
      <c r="E131" s="143"/>
      <c r="F131" s="143"/>
      <c r="G131" s="143">
        <f t="shared" si="18"/>
        <v>0</v>
      </c>
      <c r="H131" s="143"/>
      <c r="I131" s="143"/>
    </row>
    <row r="132" spans="1:18" s="12" customFormat="1" ht="18.75" x14ac:dyDescent="0.2">
      <c r="A132" s="144" t="s">
        <v>48</v>
      </c>
      <c r="B132" s="172" t="s">
        <v>14</v>
      </c>
      <c r="C132" s="169">
        <v>34343.69</v>
      </c>
      <c r="D132" s="162">
        <v>44370.833930191475</v>
      </c>
      <c r="E132" s="162">
        <v>46145.667287399127</v>
      </c>
      <c r="F132" s="162">
        <v>47991.493978895087</v>
      </c>
      <c r="G132" s="162">
        <f t="shared" si="18"/>
        <v>47991.493978895087</v>
      </c>
      <c r="H132" s="162">
        <v>49911.153738050896</v>
      </c>
      <c r="I132" s="162">
        <v>51907.599887572935</v>
      </c>
      <c r="R132"/>
    </row>
    <row r="133" spans="1:18" ht="18.75" x14ac:dyDescent="0.3">
      <c r="A133" s="159" t="s">
        <v>206</v>
      </c>
      <c r="B133" s="122" t="s">
        <v>14</v>
      </c>
      <c r="C133" s="169">
        <v>38521.910000000003</v>
      </c>
      <c r="D133" s="143">
        <v>40083.909853249483</v>
      </c>
      <c r="E133" s="143">
        <v>42689.416924664605</v>
      </c>
      <c r="F133" s="143">
        <v>44396.993601651193</v>
      </c>
      <c r="G133" s="143">
        <f t="shared" si="18"/>
        <v>44396.993601651193</v>
      </c>
      <c r="H133" s="143">
        <v>46172.873345717242</v>
      </c>
      <c r="I133" s="143">
        <v>48019.788279545937</v>
      </c>
    </row>
    <row r="134" spans="1:18" ht="18.75" x14ac:dyDescent="0.3">
      <c r="A134" s="159" t="s">
        <v>207</v>
      </c>
      <c r="B134" s="122" t="s">
        <v>14</v>
      </c>
      <c r="C134" s="169">
        <v>39300.660000000003</v>
      </c>
      <c r="D134" s="143">
        <v>46219.577294685987</v>
      </c>
      <c r="E134" s="143">
        <v>48207.019118357486</v>
      </c>
      <c r="F134" s="143">
        <v>50135.299883091793</v>
      </c>
      <c r="G134" s="143">
        <f t="shared" si="18"/>
        <v>50135.299883091793</v>
      </c>
      <c r="H134" s="143">
        <v>52140.711878415459</v>
      </c>
      <c r="I134" s="143">
        <v>54226.340353552077</v>
      </c>
    </row>
    <row r="135" spans="1:18" ht="18.75" x14ac:dyDescent="0.3">
      <c r="A135" s="159" t="s">
        <v>254</v>
      </c>
      <c r="B135" s="122" t="s">
        <v>14</v>
      </c>
      <c r="C135" s="169">
        <v>24148.6</v>
      </c>
      <c r="D135" s="143">
        <v>28389.051603905162</v>
      </c>
      <c r="E135" s="143">
        <v>29609.780822873079</v>
      </c>
      <c r="F135" s="143">
        <v>30794.172055788007</v>
      </c>
      <c r="G135" s="143">
        <f t="shared" si="18"/>
        <v>30794.172055788007</v>
      </c>
      <c r="H135" s="143">
        <v>32025.938938019528</v>
      </c>
      <c r="I135" s="143">
        <v>33306.976495540308</v>
      </c>
      <c r="R135" s="12"/>
    </row>
    <row r="136" spans="1:18" ht="18.75" x14ac:dyDescent="0.3">
      <c r="A136" s="159" t="s">
        <v>208</v>
      </c>
      <c r="B136" s="122" t="s">
        <v>14</v>
      </c>
      <c r="C136" s="169">
        <v>35772.76</v>
      </c>
      <c r="D136" s="143">
        <v>40674.838147881725</v>
      </c>
      <c r="E136" s="143">
        <v>42350.161700371951</v>
      </c>
      <c r="F136" s="143">
        <v>44044.13054953856</v>
      </c>
      <c r="G136" s="143">
        <f t="shared" si="18"/>
        <v>44044.13054953856</v>
      </c>
      <c r="H136" s="143">
        <v>45805.895771520103</v>
      </c>
      <c r="I136" s="143">
        <v>47725.003844849278</v>
      </c>
    </row>
    <row r="137" spans="1:18" s="28" customFormat="1" ht="78" x14ac:dyDescent="0.2">
      <c r="A137" s="139" t="s">
        <v>74</v>
      </c>
      <c r="B137" s="122" t="s">
        <v>14</v>
      </c>
      <c r="C137" s="141">
        <v>24239.5</v>
      </c>
      <c r="D137" s="141">
        <f>'Приложение 2'!AB37</f>
        <v>26090.528693234966</v>
      </c>
      <c r="E137" s="141">
        <f>'Приложение 2'!AC37</f>
        <v>26090.528693234966</v>
      </c>
      <c r="F137" s="141">
        <f>'Приложение 2'!AD37</f>
        <v>26090.528693234966</v>
      </c>
      <c r="G137" s="141">
        <f t="shared" si="18"/>
        <v>26090.528693234966</v>
      </c>
      <c r="H137" s="141">
        <f>'Приложение 2'!AE37</f>
        <v>27079.887953385183</v>
      </c>
      <c r="I137" s="141">
        <f>'Приложение 2'!AF37</f>
        <v>28163.083471520593</v>
      </c>
    </row>
    <row r="138" spans="1:18" s="28" customFormat="1" ht="39" x14ac:dyDescent="0.2">
      <c r="A138" s="139" t="s">
        <v>78</v>
      </c>
      <c r="B138" s="122"/>
      <c r="C138" s="141">
        <v>7031.39</v>
      </c>
      <c r="D138" s="184">
        <v>7522.7232699999995</v>
      </c>
      <c r="E138" s="184">
        <v>7678.0487400000002</v>
      </c>
      <c r="F138" s="184">
        <v>7981.1876099999999</v>
      </c>
      <c r="G138" s="184">
        <f>F138</f>
        <v>7981.1876099999999</v>
      </c>
      <c r="H138" s="184">
        <v>8410.6686999999984</v>
      </c>
      <c r="I138" s="184">
        <v>8718.498810000001</v>
      </c>
    </row>
    <row r="139" spans="1:18" s="28" customFormat="1" ht="18.75" x14ac:dyDescent="0.2">
      <c r="A139" s="142" t="s">
        <v>28</v>
      </c>
      <c r="B139" s="122" t="s">
        <v>11</v>
      </c>
      <c r="C139" s="143"/>
      <c r="D139" s="143"/>
      <c r="E139" s="143"/>
      <c r="F139" s="143"/>
      <c r="G139" s="143"/>
      <c r="H139" s="143"/>
      <c r="I139" s="143"/>
    </row>
    <row r="140" spans="1:18" s="28" customFormat="1" ht="56.25" x14ac:dyDescent="0.2">
      <c r="A140" s="142" t="s">
        <v>79</v>
      </c>
      <c r="B140" s="122"/>
      <c r="C140" s="143">
        <v>429.05</v>
      </c>
      <c r="D140" s="143">
        <v>390.4</v>
      </c>
      <c r="E140" s="143">
        <v>390.4</v>
      </c>
      <c r="F140" s="143">
        <v>390.4</v>
      </c>
      <c r="G140" s="143">
        <f t="shared" si="18"/>
        <v>390.4</v>
      </c>
      <c r="H140" s="143">
        <v>405.2</v>
      </c>
      <c r="I140" s="143">
        <v>421.5</v>
      </c>
      <c r="K140" s="165">
        <v>1000</v>
      </c>
    </row>
    <row r="141" spans="1:18" s="28" customFormat="1" ht="37.5" x14ac:dyDescent="0.2">
      <c r="A141" s="142" t="s">
        <v>84</v>
      </c>
      <c r="B141" s="122" t="s">
        <v>11</v>
      </c>
      <c r="C141" s="143">
        <v>45.78</v>
      </c>
      <c r="D141" s="143">
        <v>82.5</v>
      </c>
      <c r="E141" s="162">
        <v>390.44997999999998</v>
      </c>
      <c r="F141" s="162">
        <v>390.44997999999998</v>
      </c>
      <c r="G141" s="162">
        <v>390.44997999999998</v>
      </c>
      <c r="H141" s="162">
        <v>405.25594000000001</v>
      </c>
      <c r="I141" s="162">
        <v>421.46618000000001</v>
      </c>
    </row>
    <row r="142" spans="1:18" s="28" customFormat="1" ht="37.5" x14ac:dyDescent="0.2">
      <c r="A142" s="142" t="s">
        <v>99</v>
      </c>
      <c r="B142" s="122" t="s">
        <v>11</v>
      </c>
      <c r="C142" s="169">
        <v>424.7</v>
      </c>
      <c r="D142" s="162">
        <v>487.64315999999997</v>
      </c>
      <c r="E142" s="162">
        <v>521.61311999999998</v>
      </c>
      <c r="F142" s="162">
        <v>542.47739999999999</v>
      </c>
      <c r="G142" s="162">
        <f>F142</f>
        <v>542.47739999999999</v>
      </c>
      <c r="H142" s="162">
        <v>564.17650000000003</v>
      </c>
      <c r="I142" s="162">
        <v>586.74356</v>
      </c>
    </row>
    <row r="143" spans="1:18" ht="19.5" x14ac:dyDescent="0.2">
      <c r="A143" s="139" t="s">
        <v>29</v>
      </c>
      <c r="B143" s="122" t="s">
        <v>11</v>
      </c>
      <c r="C143" s="141">
        <v>94.9</v>
      </c>
      <c r="D143" s="141">
        <v>85.5</v>
      </c>
      <c r="E143" s="141">
        <f>D143/D138*E138</f>
        <v>87.265361719200939</v>
      </c>
      <c r="F143" s="141">
        <f t="shared" ref="F143:I143" si="19">E143/E138*F138</f>
        <v>90.710706238035002</v>
      </c>
      <c r="G143" s="141">
        <f t="shared" ref="G143:G145" si="20">F143</f>
        <v>90.710706238035002</v>
      </c>
      <c r="H143" s="141">
        <f t="shared" si="19"/>
        <v>95.592001465448021</v>
      </c>
      <c r="I143" s="141">
        <f t="shared" si="19"/>
        <v>99.090664577244269</v>
      </c>
    </row>
    <row r="144" spans="1:18" ht="19.5" x14ac:dyDescent="0.2">
      <c r="A144" s="139" t="s">
        <v>4</v>
      </c>
      <c r="B144" s="122" t="s">
        <v>11</v>
      </c>
      <c r="C144" s="141"/>
      <c r="D144" s="141"/>
      <c r="E144" s="141"/>
      <c r="F144" s="141"/>
      <c r="G144" s="141">
        <f t="shared" si="20"/>
        <v>0</v>
      </c>
      <c r="H144" s="141"/>
      <c r="I144" s="141"/>
    </row>
    <row r="145" spans="1:18" ht="58.5" x14ac:dyDescent="0.2">
      <c r="A145" s="139" t="s">
        <v>109</v>
      </c>
      <c r="B145" s="122" t="s">
        <v>11</v>
      </c>
      <c r="C145" s="141">
        <f t="shared" ref="C145:I145" si="21">C138+C143</f>
        <v>7126.29</v>
      </c>
      <c r="D145" s="141">
        <f t="shared" si="21"/>
        <v>7608.2232699999995</v>
      </c>
      <c r="E145" s="141">
        <f t="shared" si="21"/>
        <v>7765.3141017192011</v>
      </c>
      <c r="F145" s="141">
        <f t="shared" si="21"/>
        <v>8071.8983162380346</v>
      </c>
      <c r="G145" s="141">
        <f t="shared" si="20"/>
        <v>8071.8983162380346</v>
      </c>
      <c r="H145" s="141">
        <f t="shared" si="21"/>
        <v>8506.2607014654459</v>
      </c>
      <c r="I145" s="141">
        <f t="shared" si="21"/>
        <v>8817.5894745772457</v>
      </c>
    </row>
    <row r="146" spans="1:18" ht="18.75" x14ac:dyDescent="0.2">
      <c r="A146" s="346" t="s">
        <v>119</v>
      </c>
      <c r="B146" s="346"/>
      <c r="C146" s="346"/>
      <c r="D146" s="346"/>
      <c r="E146" s="346"/>
      <c r="F146" s="346"/>
      <c r="G146" s="346"/>
      <c r="H146" s="346"/>
      <c r="I146" s="346"/>
    </row>
    <row r="147" spans="1:18" ht="42.75" customHeight="1" x14ac:dyDescent="0.2">
      <c r="A147" s="131" t="s">
        <v>116</v>
      </c>
      <c r="B147" s="122" t="s">
        <v>11</v>
      </c>
      <c r="C147" s="129">
        <v>501.6</v>
      </c>
      <c r="D147" s="129">
        <v>501</v>
      </c>
      <c r="E147" s="129">
        <v>509.9</v>
      </c>
      <c r="F147" s="129">
        <v>524.20000000000005</v>
      </c>
      <c r="G147" s="129">
        <v>524.20000000000005</v>
      </c>
      <c r="H147" s="129">
        <v>547.29999999999995</v>
      </c>
      <c r="I147" s="129">
        <v>568.5</v>
      </c>
    </row>
    <row r="148" spans="1:18" ht="18.75" x14ac:dyDescent="0.2">
      <c r="A148" s="130" t="s">
        <v>28</v>
      </c>
      <c r="B148" s="122" t="s">
        <v>11</v>
      </c>
      <c r="C148" s="129"/>
      <c r="D148" s="129"/>
      <c r="E148" s="129"/>
      <c r="F148" s="129"/>
      <c r="G148" s="129"/>
      <c r="H148" s="129"/>
      <c r="I148" s="129"/>
    </row>
    <row r="149" spans="1:18" ht="18.75" x14ac:dyDescent="0.2">
      <c r="A149" s="132" t="s">
        <v>114</v>
      </c>
      <c r="B149" s="122" t="s">
        <v>11</v>
      </c>
      <c r="C149" s="129">
        <v>387.9</v>
      </c>
      <c r="D149" s="129">
        <v>386.1</v>
      </c>
      <c r="E149" s="129">
        <v>400</v>
      </c>
      <c r="F149" s="129">
        <v>414.4</v>
      </c>
      <c r="G149" s="129">
        <v>414.4</v>
      </c>
      <c r="H149" s="129">
        <v>433.5</v>
      </c>
      <c r="I149" s="129">
        <v>453.4</v>
      </c>
    </row>
    <row r="150" spans="1:18" ht="18.75" x14ac:dyDescent="0.2">
      <c r="A150" s="132" t="s">
        <v>115</v>
      </c>
      <c r="B150" s="122" t="s">
        <v>11</v>
      </c>
      <c r="C150" s="129"/>
      <c r="D150" s="129"/>
      <c r="E150" s="129"/>
      <c r="F150" s="129"/>
      <c r="G150" s="129"/>
      <c r="H150" s="129"/>
      <c r="I150" s="129"/>
    </row>
    <row r="151" spans="1:18" ht="18.75" x14ac:dyDescent="0.2">
      <c r="A151" s="133" t="s">
        <v>110</v>
      </c>
      <c r="B151" s="122" t="s">
        <v>11</v>
      </c>
      <c r="C151" s="129">
        <v>23.2</v>
      </c>
      <c r="D151" s="129">
        <v>29.2</v>
      </c>
      <c r="E151" s="129">
        <v>24.7</v>
      </c>
      <c r="F151" s="129">
        <v>24.7</v>
      </c>
      <c r="G151" s="129">
        <v>24.7</v>
      </c>
      <c r="H151" s="129">
        <v>24.7</v>
      </c>
      <c r="I151" s="129">
        <v>24.7</v>
      </c>
    </row>
    <row r="152" spans="1:18" ht="36" customHeight="1" x14ac:dyDescent="0.2">
      <c r="A152" s="134" t="s">
        <v>124</v>
      </c>
      <c r="B152" s="122" t="s">
        <v>11</v>
      </c>
      <c r="C152" s="129">
        <v>5312.2</v>
      </c>
      <c r="D152" s="129">
        <v>5312.2</v>
      </c>
      <c r="E152" s="129">
        <v>5312.2</v>
      </c>
      <c r="F152" s="129">
        <v>5312.2</v>
      </c>
      <c r="G152" s="129">
        <v>5312.2</v>
      </c>
      <c r="H152" s="129">
        <v>5312.2</v>
      </c>
      <c r="I152" s="129">
        <v>5312.2</v>
      </c>
    </row>
    <row r="153" spans="1:18" ht="18.75" x14ac:dyDescent="0.2">
      <c r="A153" s="134" t="s">
        <v>121</v>
      </c>
      <c r="B153" s="122" t="s">
        <v>11</v>
      </c>
      <c r="C153" s="129">
        <v>25.8</v>
      </c>
      <c r="D153" s="129">
        <v>25.8</v>
      </c>
      <c r="E153" s="129">
        <v>25.8</v>
      </c>
      <c r="F153" s="129">
        <v>25.8</v>
      </c>
      <c r="G153" s="129">
        <v>25.8</v>
      </c>
      <c r="H153" s="129">
        <v>25.8</v>
      </c>
      <c r="I153" s="129">
        <v>25.8</v>
      </c>
    </row>
    <row r="154" spans="1:18" ht="18.75" x14ac:dyDescent="0.2">
      <c r="A154" s="133" t="s">
        <v>111</v>
      </c>
      <c r="B154" s="122" t="s">
        <v>11</v>
      </c>
      <c r="C154" s="129">
        <v>10.8</v>
      </c>
      <c r="D154" s="129">
        <v>14</v>
      </c>
      <c r="E154" s="129">
        <v>11.3</v>
      </c>
      <c r="F154" s="129">
        <v>11.5</v>
      </c>
      <c r="G154" s="129">
        <v>11.5</v>
      </c>
      <c r="H154" s="129">
        <v>11.7</v>
      </c>
      <c r="I154" s="129">
        <v>11.7</v>
      </c>
    </row>
    <row r="155" spans="1:18" ht="31.5" x14ac:dyDescent="0.2">
      <c r="A155" s="134" t="s">
        <v>125</v>
      </c>
      <c r="B155" s="122" t="s">
        <v>11</v>
      </c>
      <c r="C155" s="129">
        <v>4083.1</v>
      </c>
      <c r="D155" s="129">
        <v>4083.1</v>
      </c>
      <c r="E155" s="129">
        <v>4083.1</v>
      </c>
      <c r="F155" s="129">
        <v>4083.1</v>
      </c>
      <c r="G155" s="129">
        <v>4083.1</v>
      </c>
      <c r="H155" s="129">
        <v>4083.1</v>
      </c>
      <c r="I155" s="129">
        <v>4083.1</v>
      </c>
    </row>
    <row r="156" spans="1:18" ht="18.75" x14ac:dyDescent="0.2">
      <c r="A156" s="132" t="s">
        <v>120</v>
      </c>
      <c r="B156" s="122"/>
      <c r="C156" s="129"/>
      <c r="D156" s="129"/>
      <c r="E156" s="129"/>
      <c r="F156" s="129"/>
      <c r="G156" s="129"/>
      <c r="H156" s="129"/>
      <c r="I156" s="129"/>
    </row>
    <row r="157" spans="1:18" ht="18.75" x14ac:dyDescent="0.2">
      <c r="A157" s="134" t="s">
        <v>112</v>
      </c>
      <c r="B157" s="122" t="s">
        <v>11</v>
      </c>
      <c r="C157" s="129">
        <v>9.4</v>
      </c>
      <c r="D157" s="129">
        <v>9</v>
      </c>
      <c r="E157" s="129">
        <v>2.4</v>
      </c>
      <c r="F157" s="129">
        <v>0</v>
      </c>
      <c r="G157" s="129">
        <v>0</v>
      </c>
      <c r="H157" s="129">
        <v>0</v>
      </c>
      <c r="I157" s="129">
        <v>0</v>
      </c>
    </row>
    <row r="158" spans="1:18" s="20" customFormat="1" ht="31.5" x14ac:dyDescent="0.2">
      <c r="A158" s="134" t="s">
        <v>113</v>
      </c>
      <c r="B158" s="122" t="s">
        <v>11</v>
      </c>
      <c r="C158" s="129">
        <v>0</v>
      </c>
      <c r="D158" s="129">
        <v>0.1</v>
      </c>
      <c r="E158" s="129">
        <v>3.3</v>
      </c>
      <c r="F158" s="129">
        <v>3.4</v>
      </c>
      <c r="G158" s="129">
        <v>3.4</v>
      </c>
      <c r="H158" s="129">
        <v>3.6</v>
      </c>
      <c r="I158" s="129">
        <v>3.7</v>
      </c>
      <c r="R158"/>
    </row>
    <row r="160" spans="1:18" ht="18.75" x14ac:dyDescent="0.2">
      <c r="A160" s="38" t="s">
        <v>244</v>
      </c>
    </row>
    <row r="161" spans="1:18" ht="18.75" x14ac:dyDescent="0.2">
      <c r="A161" s="38" t="s">
        <v>245</v>
      </c>
      <c r="R161" s="20"/>
    </row>
    <row r="162" spans="1:18" ht="18.75" x14ac:dyDescent="0.2">
      <c r="A162" s="38" t="s">
        <v>247</v>
      </c>
    </row>
    <row r="166" spans="1:18" ht="15.75" x14ac:dyDescent="0.25">
      <c r="A166" s="39" t="s">
        <v>246</v>
      </c>
    </row>
  </sheetData>
  <mergeCells count="15">
    <mergeCell ref="A8:I8"/>
    <mergeCell ref="A23:I23"/>
    <mergeCell ref="A146:I146"/>
    <mergeCell ref="A72:I72"/>
    <mergeCell ref="F6:G6"/>
    <mergeCell ref="H1:I1"/>
    <mergeCell ref="D5:D7"/>
    <mergeCell ref="C5:C7"/>
    <mergeCell ref="E5:E7"/>
    <mergeCell ref="A3:I3"/>
    <mergeCell ref="H6:H7"/>
    <mergeCell ref="I6:I7"/>
    <mergeCell ref="F5:I5"/>
    <mergeCell ref="A5:A7"/>
    <mergeCell ref="B5:B7"/>
  </mergeCells>
  <phoneticPr fontId="11" type="noConversion"/>
  <printOptions horizontalCentered="1"/>
  <pageMargins left="1.1811023622047245" right="0.19685039370078741" top="0.78740157480314965" bottom="0.39370078740157483" header="0" footer="0"/>
  <pageSetup paperSize="9" scale="50" fitToHeight="0" orientation="portrait" r:id="rId1"/>
  <headerFooter alignWithMargins="0"/>
  <rowBreaks count="1" manualBreakCount="1">
    <brk id="13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2:AN46"/>
  <sheetViews>
    <sheetView view="pageBreakPreview" zoomScale="70" zoomScaleNormal="84" zoomScaleSheetLayoutView="70" workbookViewId="0">
      <pane xSplit="2" ySplit="7" topLeftCell="N20" activePane="bottomRight" state="frozen"/>
      <selection pane="topRight" activeCell="C1" sqref="C1"/>
      <selection pane="bottomLeft" activeCell="A8" sqref="A8"/>
      <selection pane="bottomRight" activeCell="AA5" sqref="AA5:AF5"/>
    </sheetView>
  </sheetViews>
  <sheetFormatPr defaultRowHeight="14.25" x14ac:dyDescent="0.2"/>
  <cols>
    <col min="1" max="1" width="43.42578125" style="190" customWidth="1"/>
    <col min="2" max="2" width="15.5703125" style="190" customWidth="1"/>
    <col min="3" max="3" width="9.7109375" style="190" customWidth="1"/>
    <col min="4" max="4" width="12.5703125" style="190" customWidth="1"/>
    <col min="5" max="5" width="11.85546875" style="190" customWidth="1"/>
    <col min="6" max="6" width="13" style="190" customWidth="1"/>
    <col min="7" max="7" width="13.42578125" style="190" customWidth="1"/>
    <col min="8" max="8" width="13.85546875" style="190" customWidth="1"/>
    <col min="9" max="14" width="9.7109375" style="190" customWidth="1"/>
    <col min="15" max="16" width="9.140625" style="190" customWidth="1"/>
    <col min="17" max="17" width="10.28515625" style="190" customWidth="1"/>
    <col min="18" max="18" width="9" style="190" customWidth="1"/>
    <col min="19" max="20" width="9.28515625" style="190" customWidth="1"/>
    <col min="21" max="27" width="9.7109375" style="190" customWidth="1"/>
    <col min="28" max="28" width="9.85546875" style="190" customWidth="1"/>
    <col min="29" max="29" width="10.28515625" style="190" customWidth="1"/>
    <col min="30" max="32" width="9.7109375" style="190" customWidth="1"/>
    <col min="33" max="38" width="10.7109375" style="190" bestFit="1" customWidth="1"/>
    <col min="39" max="16384" width="9.140625" style="190"/>
  </cols>
  <sheetData>
    <row r="2" spans="1:40" ht="15" customHeight="1" x14ac:dyDescent="0.25">
      <c r="C2" s="347" t="s">
        <v>85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 t="s">
        <v>248</v>
      </c>
      <c r="R2" s="349"/>
      <c r="S2" s="349"/>
      <c r="T2" s="349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348" t="s">
        <v>248</v>
      </c>
      <c r="AJ2" s="349"/>
      <c r="AK2" s="349"/>
      <c r="AL2" s="349"/>
    </row>
    <row r="3" spans="1:40" x14ac:dyDescent="0.2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192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4"/>
    </row>
    <row r="4" spans="1:40" ht="15" x14ac:dyDescent="0.2">
      <c r="A4" s="195"/>
      <c r="B4" s="359" t="s">
        <v>129</v>
      </c>
      <c r="C4" s="352" t="s">
        <v>6</v>
      </c>
      <c r="D4" s="352"/>
      <c r="E4" s="352"/>
      <c r="F4" s="352"/>
      <c r="G4" s="352"/>
      <c r="H4" s="353"/>
      <c r="I4" s="354" t="s">
        <v>57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/>
      <c r="U4" s="361" t="s">
        <v>58</v>
      </c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196"/>
      <c r="AN4" s="196"/>
    </row>
    <row r="5" spans="1:40" ht="30.75" customHeight="1" x14ac:dyDescent="0.2">
      <c r="A5" s="197"/>
      <c r="B5" s="360"/>
      <c r="C5" s="356" t="s">
        <v>60</v>
      </c>
      <c r="D5" s="357"/>
      <c r="E5" s="357"/>
      <c r="F5" s="357"/>
      <c r="G5" s="357"/>
      <c r="H5" s="357"/>
      <c r="I5" s="356" t="s">
        <v>1</v>
      </c>
      <c r="J5" s="357"/>
      <c r="K5" s="357"/>
      <c r="L5" s="357"/>
      <c r="M5" s="357"/>
      <c r="N5" s="358"/>
      <c r="O5" s="356" t="s">
        <v>69</v>
      </c>
      <c r="P5" s="357"/>
      <c r="Q5" s="357"/>
      <c r="R5" s="357"/>
      <c r="S5" s="357"/>
      <c r="T5" s="358"/>
      <c r="U5" s="356" t="s">
        <v>0</v>
      </c>
      <c r="V5" s="357"/>
      <c r="W5" s="357"/>
      <c r="X5" s="357"/>
      <c r="Y5" s="357"/>
      <c r="Z5" s="357"/>
      <c r="AA5" s="356" t="s">
        <v>71</v>
      </c>
      <c r="AB5" s="357"/>
      <c r="AC5" s="357"/>
      <c r="AD5" s="357"/>
      <c r="AE5" s="357"/>
      <c r="AF5" s="357"/>
      <c r="AG5" s="356" t="s">
        <v>59</v>
      </c>
      <c r="AH5" s="357"/>
      <c r="AI5" s="357"/>
      <c r="AJ5" s="357"/>
      <c r="AK5" s="357"/>
      <c r="AL5" s="358"/>
      <c r="AM5" s="196"/>
    </row>
    <row r="6" spans="1:40" ht="15" x14ac:dyDescent="0.2">
      <c r="A6" s="197"/>
      <c r="B6" s="360"/>
      <c r="C6" s="350" t="s">
        <v>252</v>
      </c>
      <c r="D6" s="350" t="s">
        <v>265</v>
      </c>
      <c r="E6" s="355" t="s">
        <v>266</v>
      </c>
      <c r="F6" s="355" t="s">
        <v>268</v>
      </c>
      <c r="G6" s="355"/>
      <c r="H6" s="356"/>
      <c r="I6" s="350" t="s">
        <v>252</v>
      </c>
      <c r="J6" s="350" t="s">
        <v>265</v>
      </c>
      <c r="K6" s="355" t="s">
        <v>266</v>
      </c>
      <c r="L6" s="355" t="s">
        <v>268</v>
      </c>
      <c r="M6" s="355"/>
      <c r="N6" s="355"/>
      <c r="O6" s="350" t="s">
        <v>252</v>
      </c>
      <c r="P6" s="350" t="s">
        <v>265</v>
      </c>
      <c r="Q6" s="355" t="s">
        <v>266</v>
      </c>
      <c r="R6" s="355" t="s">
        <v>268</v>
      </c>
      <c r="S6" s="355"/>
      <c r="T6" s="355"/>
      <c r="U6" s="350" t="s">
        <v>252</v>
      </c>
      <c r="V6" s="350" t="s">
        <v>265</v>
      </c>
      <c r="W6" s="355" t="s">
        <v>266</v>
      </c>
      <c r="X6" s="355" t="s">
        <v>268</v>
      </c>
      <c r="Y6" s="355"/>
      <c r="Z6" s="355"/>
      <c r="AA6" s="350" t="s">
        <v>252</v>
      </c>
      <c r="AB6" s="350" t="s">
        <v>265</v>
      </c>
      <c r="AC6" s="355" t="s">
        <v>266</v>
      </c>
      <c r="AD6" s="355" t="s">
        <v>268</v>
      </c>
      <c r="AE6" s="355"/>
      <c r="AF6" s="356"/>
      <c r="AG6" s="350" t="s">
        <v>252</v>
      </c>
      <c r="AH6" s="350" t="s">
        <v>265</v>
      </c>
      <c r="AI6" s="355" t="s">
        <v>266</v>
      </c>
      <c r="AJ6" s="355" t="s">
        <v>268</v>
      </c>
      <c r="AK6" s="355"/>
      <c r="AL6" s="355"/>
      <c r="AM6" s="196"/>
      <c r="AN6" s="196"/>
    </row>
    <row r="7" spans="1:40" ht="58.5" customHeight="1" x14ac:dyDescent="0.2">
      <c r="A7" s="198"/>
      <c r="B7" s="360"/>
      <c r="C7" s="351"/>
      <c r="D7" s="351"/>
      <c r="E7" s="355"/>
      <c r="F7" s="199" t="s">
        <v>196</v>
      </c>
      <c r="G7" s="199" t="s">
        <v>253</v>
      </c>
      <c r="H7" s="200" t="s">
        <v>267</v>
      </c>
      <c r="I7" s="351"/>
      <c r="J7" s="351"/>
      <c r="K7" s="355"/>
      <c r="L7" s="199" t="s">
        <v>196</v>
      </c>
      <c r="M7" s="199" t="s">
        <v>253</v>
      </c>
      <c r="N7" s="199" t="s">
        <v>267</v>
      </c>
      <c r="O7" s="351"/>
      <c r="P7" s="351"/>
      <c r="Q7" s="355"/>
      <c r="R7" s="199" t="s">
        <v>196</v>
      </c>
      <c r="S7" s="199" t="s">
        <v>253</v>
      </c>
      <c r="T7" s="199" t="s">
        <v>267</v>
      </c>
      <c r="U7" s="351"/>
      <c r="V7" s="351"/>
      <c r="W7" s="355"/>
      <c r="X7" s="199" t="s">
        <v>196</v>
      </c>
      <c r="Y7" s="199" t="s">
        <v>253</v>
      </c>
      <c r="Z7" s="199" t="s">
        <v>267</v>
      </c>
      <c r="AA7" s="351"/>
      <c r="AB7" s="351"/>
      <c r="AC7" s="355"/>
      <c r="AD7" s="199" t="s">
        <v>196</v>
      </c>
      <c r="AE7" s="199" t="s">
        <v>253</v>
      </c>
      <c r="AF7" s="200" t="s">
        <v>267</v>
      </c>
      <c r="AG7" s="351"/>
      <c r="AH7" s="351"/>
      <c r="AI7" s="355"/>
      <c r="AJ7" s="199" t="s">
        <v>196</v>
      </c>
      <c r="AK7" s="199" t="s">
        <v>253</v>
      </c>
      <c r="AL7" s="199" t="s">
        <v>267</v>
      </c>
      <c r="AM7" s="196"/>
      <c r="AN7" s="196"/>
    </row>
    <row r="8" spans="1:40" ht="42.75" x14ac:dyDescent="0.2">
      <c r="A8" s="201" t="s">
        <v>167</v>
      </c>
      <c r="B8" s="202"/>
      <c r="C8" s="203">
        <f>C9+C12</f>
        <v>3758.3300000000004</v>
      </c>
      <c r="D8" s="204">
        <f>D9+D12</f>
        <v>3401.2498999999998</v>
      </c>
      <c r="E8" s="204">
        <f t="shared" ref="E8:H8" si="0">E9+E12</f>
        <v>3463.2806149615717</v>
      </c>
      <c r="F8" s="204">
        <f t="shared" si="0"/>
        <v>4067.1187766225057</v>
      </c>
      <c r="G8" s="204">
        <f t="shared" si="0"/>
        <v>4205.6672144007171</v>
      </c>
      <c r="H8" s="205">
        <f t="shared" si="0"/>
        <v>4315.1526442355416</v>
      </c>
      <c r="I8" s="203">
        <f>I9+I12</f>
        <v>3758.3300000000004</v>
      </c>
      <c r="J8" s="204">
        <f>J9+J12</f>
        <v>3468.5099999999998</v>
      </c>
      <c r="K8" s="204">
        <f t="shared" ref="K8:N8" si="1">K9+K12</f>
        <v>3537.4937710000004</v>
      </c>
      <c r="L8" s="204">
        <f t="shared" si="1"/>
        <v>4154.2713218399995</v>
      </c>
      <c r="M8" s="204">
        <f t="shared" si="1"/>
        <v>4295.7886547135995</v>
      </c>
      <c r="N8" s="206">
        <f t="shared" si="1"/>
        <v>4407.6202009021399</v>
      </c>
      <c r="O8" s="204">
        <f>O9+O12</f>
        <v>7.64</v>
      </c>
      <c r="P8" s="204">
        <f>P9+P12</f>
        <v>169.81700000000001</v>
      </c>
      <c r="Q8" s="204">
        <f>Q9+Q12</f>
        <v>175.24</v>
      </c>
      <c r="R8" s="204">
        <f t="shared" ref="R8:T8" si="2">R9+R12</f>
        <v>202.51599999999999</v>
      </c>
      <c r="S8" s="204">
        <f t="shared" si="2"/>
        <v>221.36</v>
      </c>
      <c r="T8" s="206">
        <f t="shared" si="2"/>
        <v>235.62</v>
      </c>
      <c r="U8" s="203">
        <f>U9+U12</f>
        <v>1406</v>
      </c>
      <c r="V8" s="204">
        <f>V9+V12</f>
        <v>1489.1000000000001</v>
      </c>
      <c r="W8" s="204">
        <f t="shared" ref="W8:Z8" si="3">W9+W12</f>
        <v>1359</v>
      </c>
      <c r="X8" s="204">
        <f t="shared" si="3"/>
        <v>1340</v>
      </c>
      <c r="Y8" s="204">
        <f t="shared" si="3"/>
        <v>1390</v>
      </c>
      <c r="Z8" s="205">
        <f t="shared" si="3"/>
        <v>1375</v>
      </c>
      <c r="AA8" s="203">
        <f>AG8/U8/12*1000000</f>
        <v>67293.741109530587</v>
      </c>
      <c r="AB8" s="204">
        <f t="shared" ref="AB8:AF8" si="4">AH8/V8/12*1000000</f>
        <v>69930.976070557168</v>
      </c>
      <c r="AC8" s="204">
        <f t="shared" si="4"/>
        <v>71399.976230644475</v>
      </c>
      <c r="AD8" s="204">
        <f t="shared" si="4"/>
        <v>76186.967964187177</v>
      </c>
      <c r="AE8" s="204">
        <f t="shared" si="4"/>
        <v>82708.246921983809</v>
      </c>
      <c r="AF8" s="205">
        <f t="shared" si="4"/>
        <v>85355.766121517576</v>
      </c>
      <c r="AG8" s="207">
        <f>AG9+AG12</f>
        <v>1135.3800000000001</v>
      </c>
      <c r="AH8" s="208">
        <f>AH9+AH12</f>
        <v>1249.6105976000001</v>
      </c>
      <c r="AI8" s="208">
        <f t="shared" ref="AI8:AK8" si="5">AI9+AI12</f>
        <v>1164.3908123693502</v>
      </c>
      <c r="AJ8" s="208">
        <f t="shared" si="5"/>
        <v>1225.08644486413</v>
      </c>
      <c r="AK8" s="208">
        <f t="shared" si="5"/>
        <v>1379.57355865869</v>
      </c>
      <c r="AL8" s="209">
        <f>AL9+AL12</f>
        <v>1408.3701410050398</v>
      </c>
      <c r="AM8" s="210"/>
      <c r="AN8" s="196"/>
    </row>
    <row r="9" spans="1:40" ht="60" x14ac:dyDescent="0.2">
      <c r="A9" s="211" t="s">
        <v>168</v>
      </c>
      <c r="B9" s="212"/>
      <c r="C9" s="213">
        <v>290.82</v>
      </c>
      <c r="D9" s="214">
        <v>262.44600000000003</v>
      </c>
      <c r="E9" s="214">
        <v>0</v>
      </c>
      <c r="F9" s="214">
        <v>0</v>
      </c>
      <c r="G9" s="214">
        <v>0</v>
      </c>
      <c r="H9" s="215">
        <v>0</v>
      </c>
      <c r="I9" s="213">
        <v>290.82</v>
      </c>
      <c r="J9" s="214">
        <v>262.44600000000003</v>
      </c>
      <c r="K9" s="214">
        <v>0</v>
      </c>
      <c r="L9" s="214">
        <v>0</v>
      </c>
      <c r="M9" s="214">
        <v>0</v>
      </c>
      <c r="N9" s="216">
        <v>0</v>
      </c>
      <c r="O9" s="217">
        <v>7.64</v>
      </c>
      <c r="P9" s="217">
        <v>0</v>
      </c>
      <c r="Q9" s="217">
        <v>0</v>
      </c>
      <c r="R9" s="217">
        <v>0</v>
      </c>
      <c r="S9" s="217">
        <v>0</v>
      </c>
      <c r="T9" s="218">
        <v>0</v>
      </c>
      <c r="U9" s="213">
        <v>52</v>
      </c>
      <c r="V9" s="214">
        <v>52.2</v>
      </c>
      <c r="W9" s="214">
        <v>0</v>
      </c>
      <c r="X9" s="214">
        <v>0</v>
      </c>
      <c r="Y9" s="214">
        <v>0</v>
      </c>
      <c r="Z9" s="215">
        <v>0</v>
      </c>
      <c r="AA9" s="213">
        <f t="shared" ref="AA9:AA37" si="6">AG9/U9/12*1000000</f>
        <v>24759.615384615383</v>
      </c>
      <c r="AB9" s="214">
        <f t="shared" ref="AB9:AB38" si="7">AH9/V9/12*1000000</f>
        <v>25908.999999999996</v>
      </c>
      <c r="AC9" s="214">
        <v>0</v>
      </c>
      <c r="AD9" s="214">
        <v>0</v>
      </c>
      <c r="AE9" s="214">
        <v>0</v>
      </c>
      <c r="AF9" s="215">
        <v>0</v>
      </c>
      <c r="AG9" s="213">
        <v>15.45</v>
      </c>
      <c r="AH9" s="214">
        <v>16.229397599999999</v>
      </c>
      <c r="AI9" s="214">
        <v>0</v>
      </c>
      <c r="AJ9" s="214">
        <v>0</v>
      </c>
      <c r="AK9" s="214">
        <v>0</v>
      </c>
      <c r="AL9" s="216">
        <v>0</v>
      </c>
      <c r="AM9" s="210"/>
      <c r="AN9" s="196"/>
    </row>
    <row r="10" spans="1:40" ht="15" x14ac:dyDescent="0.2">
      <c r="A10" s="219" t="s">
        <v>169</v>
      </c>
      <c r="B10" s="220" t="s">
        <v>209</v>
      </c>
      <c r="C10" s="221" t="s">
        <v>209</v>
      </c>
      <c r="D10" s="222"/>
      <c r="E10" s="222"/>
      <c r="F10" s="222"/>
      <c r="G10" s="222"/>
      <c r="H10" s="223"/>
      <c r="I10" s="221" t="s">
        <v>209</v>
      </c>
      <c r="J10" s="222"/>
      <c r="K10" s="222"/>
      <c r="L10" s="222"/>
      <c r="M10" s="222"/>
      <c r="N10" s="224"/>
      <c r="O10" s="222"/>
      <c r="P10" s="222"/>
      <c r="Q10" s="222"/>
      <c r="R10" s="222"/>
      <c r="S10" s="222"/>
      <c r="T10" s="224"/>
      <c r="U10" s="225" t="s">
        <v>209</v>
      </c>
      <c r="V10" s="226"/>
      <c r="W10" s="226"/>
      <c r="X10" s="226"/>
      <c r="Y10" s="226"/>
      <c r="Z10" s="220"/>
      <c r="AA10" s="203"/>
      <c r="AB10" s="204"/>
      <c r="AC10" s="204"/>
      <c r="AD10" s="204"/>
      <c r="AE10" s="204"/>
      <c r="AF10" s="205"/>
      <c r="AG10" s="225" t="s">
        <v>209</v>
      </c>
      <c r="AH10" s="226"/>
      <c r="AI10" s="226"/>
      <c r="AJ10" s="226"/>
      <c r="AK10" s="226"/>
      <c r="AL10" s="227"/>
      <c r="AM10" s="210"/>
      <c r="AN10" s="196"/>
    </row>
    <row r="11" spans="1:40" ht="15" x14ac:dyDescent="0.2">
      <c r="A11" s="219" t="s">
        <v>210</v>
      </c>
      <c r="B11" s="228" t="s">
        <v>211</v>
      </c>
      <c r="C11" s="229">
        <f>C9</f>
        <v>290.82</v>
      </c>
      <c r="D11" s="230">
        <v>262.44600000000003</v>
      </c>
      <c r="E11" s="230">
        <v>0</v>
      </c>
      <c r="F11" s="230">
        <v>0</v>
      </c>
      <c r="G11" s="230">
        <v>0</v>
      </c>
      <c r="H11" s="231">
        <v>0</v>
      </c>
      <c r="I11" s="229">
        <f t="shared" ref="I11" si="8">I9</f>
        <v>290.82</v>
      </c>
      <c r="J11" s="232">
        <v>262.44600000000003</v>
      </c>
      <c r="K11" s="232">
        <v>0</v>
      </c>
      <c r="L11" s="232">
        <v>0</v>
      </c>
      <c r="M11" s="232">
        <v>0</v>
      </c>
      <c r="N11" s="233">
        <v>0</v>
      </c>
      <c r="O11" s="229">
        <f t="shared" ref="O11" si="9">O9</f>
        <v>7.64</v>
      </c>
      <c r="P11" s="232">
        <v>0</v>
      </c>
      <c r="Q11" s="232">
        <v>0</v>
      </c>
      <c r="R11" s="232">
        <v>0</v>
      </c>
      <c r="S11" s="232">
        <v>0</v>
      </c>
      <c r="T11" s="234">
        <v>0</v>
      </c>
      <c r="U11" s="229">
        <v>52</v>
      </c>
      <c r="V11" s="232">
        <v>52.2</v>
      </c>
      <c r="W11" s="232">
        <v>0</v>
      </c>
      <c r="X11" s="232">
        <v>0</v>
      </c>
      <c r="Y11" s="232">
        <v>0</v>
      </c>
      <c r="Z11" s="233">
        <v>0</v>
      </c>
      <c r="AA11" s="229">
        <f t="shared" ref="AA11:AG11" si="10">AA9</f>
        <v>24759.615384615383</v>
      </c>
      <c r="AB11" s="232">
        <f t="shared" si="10"/>
        <v>25908.999999999996</v>
      </c>
      <c r="AC11" s="232">
        <f t="shared" si="10"/>
        <v>0</v>
      </c>
      <c r="AD11" s="232">
        <f t="shared" si="10"/>
        <v>0</v>
      </c>
      <c r="AE11" s="232">
        <f t="shared" si="10"/>
        <v>0</v>
      </c>
      <c r="AF11" s="233">
        <f t="shared" si="10"/>
        <v>0</v>
      </c>
      <c r="AG11" s="229">
        <f t="shared" si="10"/>
        <v>15.45</v>
      </c>
      <c r="AH11" s="232">
        <v>16.229397599999999</v>
      </c>
      <c r="AI11" s="232">
        <v>0</v>
      </c>
      <c r="AJ11" s="232">
        <v>0</v>
      </c>
      <c r="AK11" s="232">
        <v>0</v>
      </c>
      <c r="AL11" s="234">
        <v>0</v>
      </c>
      <c r="AM11" s="210"/>
      <c r="AN11" s="196"/>
    </row>
    <row r="12" spans="1:40" ht="15" x14ac:dyDescent="0.2">
      <c r="A12" s="211" t="s">
        <v>170</v>
      </c>
      <c r="B12" s="212"/>
      <c r="C12" s="213">
        <v>3467.51</v>
      </c>
      <c r="D12" s="214">
        <v>3138.8038999999999</v>
      </c>
      <c r="E12" s="214">
        <v>3463.2806149615717</v>
      </c>
      <c r="F12" s="214">
        <v>4067.1187766225057</v>
      </c>
      <c r="G12" s="214">
        <v>4205.6672144007171</v>
      </c>
      <c r="H12" s="215">
        <v>4315.1526442355416</v>
      </c>
      <c r="I12" s="213">
        <v>3467.51</v>
      </c>
      <c r="J12" s="214">
        <v>3206.0639999999999</v>
      </c>
      <c r="K12" s="214">
        <v>3537.4937710000004</v>
      </c>
      <c r="L12" s="214">
        <v>4154.2713218399995</v>
      </c>
      <c r="M12" s="214">
        <v>4295.7886547135995</v>
      </c>
      <c r="N12" s="216">
        <v>4407.6202009021399</v>
      </c>
      <c r="O12" s="217">
        <v>0</v>
      </c>
      <c r="P12" s="217">
        <v>169.81700000000001</v>
      </c>
      <c r="Q12" s="217">
        <v>175.24</v>
      </c>
      <c r="R12" s="217">
        <v>202.51599999999999</v>
      </c>
      <c r="S12" s="217">
        <v>221.36</v>
      </c>
      <c r="T12" s="218">
        <v>235.62</v>
      </c>
      <c r="U12" s="213">
        <v>1354</v>
      </c>
      <c r="V12" s="214">
        <v>1436.9</v>
      </c>
      <c r="W12" s="214">
        <v>1359</v>
      </c>
      <c r="X12" s="214">
        <v>1340</v>
      </c>
      <c r="Y12" s="214">
        <v>1390</v>
      </c>
      <c r="Z12" s="215">
        <v>1375</v>
      </c>
      <c r="AA12" s="213">
        <f t="shared" si="6"/>
        <v>68927.252584933522</v>
      </c>
      <c r="AB12" s="214">
        <f t="shared" si="7"/>
        <v>71530.215510241949</v>
      </c>
      <c r="AC12" s="214">
        <f t="shared" ref="AC12:AC38" si="11">AI12/W12/12*1000000</f>
        <v>71399.976230644475</v>
      </c>
      <c r="AD12" s="214">
        <f t="shared" ref="AD12:AD38" si="12">AJ12/X12/12*1000000</f>
        <v>76186.967964187177</v>
      </c>
      <c r="AE12" s="214">
        <f t="shared" ref="AE12:AE38" si="13">AK12/Y12/12*1000000</f>
        <v>82708.246921983809</v>
      </c>
      <c r="AF12" s="215">
        <f t="shared" ref="AF12:AF38" si="14">AL12/Z12/12*1000000</f>
        <v>85355.766121517576</v>
      </c>
      <c r="AG12" s="213">
        <v>1119.93</v>
      </c>
      <c r="AH12" s="214">
        <v>1233.3812</v>
      </c>
      <c r="AI12" s="214">
        <v>1164.3908123693502</v>
      </c>
      <c r="AJ12" s="214">
        <v>1225.08644486413</v>
      </c>
      <c r="AK12" s="214">
        <v>1379.57355865869</v>
      </c>
      <c r="AL12" s="216">
        <v>1408.3701410050398</v>
      </c>
      <c r="AM12" s="210"/>
      <c r="AN12" s="196"/>
    </row>
    <row r="13" spans="1:40" ht="15" x14ac:dyDescent="0.2">
      <c r="A13" s="219" t="s">
        <v>169</v>
      </c>
      <c r="B13" s="220" t="s">
        <v>53</v>
      </c>
      <c r="C13" s="221" t="s">
        <v>53</v>
      </c>
      <c r="D13" s="222"/>
      <c r="E13" s="222"/>
      <c r="F13" s="222"/>
      <c r="G13" s="222"/>
      <c r="H13" s="223"/>
      <c r="I13" s="221" t="s">
        <v>53</v>
      </c>
      <c r="J13" s="222"/>
      <c r="K13" s="222"/>
      <c r="L13" s="222"/>
      <c r="M13" s="222"/>
      <c r="N13" s="224"/>
      <c r="O13" s="222"/>
      <c r="P13" s="222"/>
      <c r="Q13" s="222"/>
      <c r="R13" s="222"/>
      <c r="S13" s="222"/>
      <c r="T13" s="224"/>
      <c r="U13" s="225" t="s">
        <v>53</v>
      </c>
      <c r="V13" s="226"/>
      <c r="W13" s="226"/>
      <c r="X13" s="226"/>
      <c r="Y13" s="226"/>
      <c r="Z13" s="220"/>
      <c r="AA13" s="203"/>
      <c r="AB13" s="204"/>
      <c r="AC13" s="204"/>
      <c r="AD13" s="204"/>
      <c r="AE13" s="204"/>
      <c r="AF13" s="205"/>
      <c r="AG13" s="225" t="s">
        <v>53</v>
      </c>
      <c r="AH13" s="226"/>
      <c r="AI13" s="226"/>
      <c r="AJ13" s="226"/>
      <c r="AK13" s="226"/>
      <c r="AL13" s="227"/>
      <c r="AM13" s="210"/>
      <c r="AN13" s="196"/>
    </row>
    <row r="14" spans="1:40" ht="15" x14ac:dyDescent="0.2">
      <c r="A14" s="219" t="s">
        <v>212</v>
      </c>
      <c r="B14" s="228" t="s">
        <v>213</v>
      </c>
      <c r="C14" s="229"/>
      <c r="D14" s="230"/>
      <c r="E14" s="230"/>
      <c r="F14" s="230"/>
      <c r="G14" s="230"/>
      <c r="H14" s="231"/>
      <c r="I14" s="229"/>
      <c r="J14" s="232">
        <v>0</v>
      </c>
      <c r="K14" s="232">
        <v>0</v>
      </c>
      <c r="L14" s="232">
        <v>0</v>
      </c>
      <c r="M14" s="232">
        <v>0</v>
      </c>
      <c r="N14" s="234">
        <v>0</v>
      </c>
      <c r="O14" s="235"/>
      <c r="P14" s="235"/>
      <c r="Q14" s="235"/>
      <c r="R14" s="235"/>
      <c r="S14" s="235"/>
      <c r="T14" s="236"/>
      <c r="U14" s="229">
        <v>945</v>
      </c>
      <c r="V14" s="232">
        <v>1022</v>
      </c>
      <c r="W14" s="232">
        <v>974</v>
      </c>
      <c r="X14" s="232">
        <v>955</v>
      </c>
      <c r="Y14" s="232">
        <v>951</v>
      </c>
      <c r="Z14" s="233">
        <v>946</v>
      </c>
      <c r="AA14" s="229">
        <v>394.96</v>
      </c>
      <c r="AB14" s="232">
        <v>971.28499999999997</v>
      </c>
      <c r="AC14" s="232">
        <v>946.86</v>
      </c>
      <c r="AD14" s="232">
        <v>975.27</v>
      </c>
      <c r="AE14" s="232">
        <v>1004.528</v>
      </c>
      <c r="AF14" s="233">
        <v>1106.6600000000001</v>
      </c>
      <c r="AG14" s="229"/>
      <c r="AH14" s="232">
        <v>1041.8019999999999</v>
      </c>
      <c r="AI14" s="232">
        <v>964.34</v>
      </c>
      <c r="AJ14" s="232">
        <v>1002.9136</v>
      </c>
      <c r="AK14" s="232">
        <v>1135.509</v>
      </c>
      <c r="AL14" s="234">
        <v>1157.0509999999999</v>
      </c>
      <c r="AM14" s="210"/>
      <c r="AN14" s="196"/>
    </row>
    <row r="15" spans="1:40" ht="15" x14ac:dyDescent="0.2">
      <c r="A15" s="219" t="s">
        <v>255</v>
      </c>
      <c r="B15" s="228" t="s">
        <v>256</v>
      </c>
      <c r="C15" s="229"/>
      <c r="D15" s="230">
        <v>710.15</v>
      </c>
      <c r="E15" s="230">
        <v>952.63</v>
      </c>
      <c r="F15" s="230">
        <v>1466.0129999999999</v>
      </c>
      <c r="G15" s="230">
        <v>1500</v>
      </c>
      <c r="H15" s="231">
        <v>1500</v>
      </c>
      <c r="I15" s="229"/>
      <c r="J15" s="232">
        <v>727.76700000000005</v>
      </c>
      <c r="K15" s="232">
        <v>952.63</v>
      </c>
      <c r="L15" s="232">
        <v>1466.0129999999999</v>
      </c>
      <c r="M15" s="232">
        <v>1500</v>
      </c>
      <c r="N15" s="234">
        <v>1500</v>
      </c>
      <c r="O15" s="235">
        <v>0</v>
      </c>
      <c r="P15" s="235">
        <v>169.81700000000001</v>
      </c>
      <c r="Q15" s="235">
        <v>175.24</v>
      </c>
      <c r="R15" s="235">
        <v>202.51599999999999</v>
      </c>
      <c r="S15" s="235">
        <v>221.36</v>
      </c>
      <c r="T15" s="236">
        <v>235.62</v>
      </c>
      <c r="U15" s="229"/>
      <c r="V15" s="232">
        <v>238</v>
      </c>
      <c r="W15" s="232">
        <v>241</v>
      </c>
      <c r="X15" s="232">
        <v>241</v>
      </c>
      <c r="Y15" s="232">
        <v>285</v>
      </c>
      <c r="Z15" s="233">
        <v>285</v>
      </c>
      <c r="AA15" s="229"/>
      <c r="AB15" s="232"/>
      <c r="AC15" s="232">
        <f>AI15/W15/12*1000000</f>
        <v>51953.665283540802</v>
      </c>
      <c r="AD15" s="232">
        <f t="shared" ref="AD15:AF15" si="15">AJ15/X15/12*1000000</f>
        <v>58914.246196403867</v>
      </c>
      <c r="AE15" s="232">
        <f t="shared" si="15"/>
        <v>55614.03508771929</v>
      </c>
      <c r="AF15" s="233">
        <f t="shared" si="15"/>
        <v>57105.26315789474</v>
      </c>
      <c r="AG15" s="229"/>
      <c r="AH15" s="232">
        <v>131.14400000000001</v>
      </c>
      <c r="AI15" s="232">
        <v>150.25</v>
      </c>
      <c r="AJ15" s="232">
        <v>170.38</v>
      </c>
      <c r="AK15" s="232">
        <v>190.2</v>
      </c>
      <c r="AL15" s="234">
        <v>195.3</v>
      </c>
      <c r="AM15" s="210"/>
      <c r="AN15" s="196"/>
    </row>
    <row r="16" spans="1:40" s="247" customFormat="1" ht="15" x14ac:dyDescent="0.25">
      <c r="A16" s="237" t="s">
        <v>45</v>
      </c>
      <c r="B16" s="212"/>
      <c r="C16" s="238"/>
      <c r="D16" s="239"/>
      <c r="E16" s="240"/>
      <c r="F16" s="240"/>
      <c r="G16" s="240"/>
      <c r="H16" s="241"/>
      <c r="I16" s="238"/>
      <c r="J16" s="239"/>
      <c r="K16" s="239"/>
      <c r="L16" s="239"/>
      <c r="M16" s="239"/>
      <c r="N16" s="242"/>
      <c r="O16" s="240"/>
      <c r="P16" s="240"/>
      <c r="Q16" s="240"/>
      <c r="R16" s="240"/>
      <c r="S16" s="240"/>
      <c r="T16" s="243"/>
      <c r="U16" s="238">
        <v>43</v>
      </c>
      <c r="V16" s="239">
        <v>43</v>
      </c>
      <c r="W16" s="239">
        <v>43</v>
      </c>
      <c r="X16" s="239">
        <v>43</v>
      </c>
      <c r="Y16" s="239">
        <v>43</v>
      </c>
      <c r="Z16" s="244">
        <v>43</v>
      </c>
      <c r="AA16" s="203">
        <f t="shared" si="6"/>
        <v>57945.736434108527</v>
      </c>
      <c r="AB16" s="204">
        <f t="shared" si="7"/>
        <v>58974</v>
      </c>
      <c r="AC16" s="204">
        <f t="shared" si="11"/>
        <v>58974</v>
      </c>
      <c r="AD16" s="204">
        <f t="shared" si="12"/>
        <v>61332.959999999992</v>
      </c>
      <c r="AE16" s="204">
        <f t="shared" si="13"/>
        <v>63786.27840000001</v>
      </c>
      <c r="AF16" s="205">
        <f t="shared" si="14"/>
        <v>66337.729535999999</v>
      </c>
      <c r="AG16" s="238">
        <v>29.9</v>
      </c>
      <c r="AH16" s="239">
        <v>30.430584</v>
      </c>
      <c r="AI16" s="239">
        <v>30.430584</v>
      </c>
      <c r="AJ16" s="239">
        <v>31.647807359999998</v>
      </c>
      <c r="AK16" s="239">
        <v>32.913719654400005</v>
      </c>
      <c r="AL16" s="242">
        <v>34.230268440575998</v>
      </c>
      <c r="AM16" s="245"/>
      <c r="AN16" s="246"/>
    </row>
    <row r="17" spans="1:40" s="247" customFormat="1" ht="28.5" x14ac:dyDescent="0.25">
      <c r="A17" s="237" t="s">
        <v>171</v>
      </c>
      <c r="B17" s="212"/>
      <c r="C17" s="238">
        <v>279.27999999999997</v>
      </c>
      <c r="D17" s="239">
        <v>1605.3420000000001</v>
      </c>
      <c r="E17" s="239">
        <v>1830.08988</v>
      </c>
      <c r="F17" s="239">
        <v>1884.9925764</v>
      </c>
      <c r="G17" s="239">
        <v>1952.8523091504001</v>
      </c>
      <c r="H17" s="244">
        <v>2030.9754015164201</v>
      </c>
      <c r="I17" s="238">
        <v>279.27999999999997</v>
      </c>
      <c r="J17" s="239">
        <v>1605.3420000000001</v>
      </c>
      <c r="K17" s="239">
        <v>1830.08988</v>
      </c>
      <c r="L17" s="239">
        <v>1884.9925764</v>
      </c>
      <c r="M17" s="239">
        <v>1952.8523091504001</v>
      </c>
      <c r="N17" s="244">
        <v>2030.9754015164201</v>
      </c>
      <c r="O17" s="238"/>
      <c r="P17" s="239"/>
      <c r="Q17" s="239"/>
      <c r="R17" s="239"/>
      <c r="S17" s="239"/>
      <c r="T17" s="242"/>
      <c r="U17" s="238">
        <v>881</v>
      </c>
      <c r="V17" s="239">
        <v>923</v>
      </c>
      <c r="W17" s="239">
        <v>794.9</v>
      </c>
      <c r="X17" s="239">
        <v>794.9</v>
      </c>
      <c r="Y17" s="239">
        <v>794.9</v>
      </c>
      <c r="Z17" s="244">
        <v>794.9</v>
      </c>
      <c r="AA17" s="238">
        <f t="shared" si="6"/>
        <v>50578.887627695804</v>
      </c>
      <c r="AB17" s="239">
        <f t="shared" si="7"/>
        <v>50994.474539544957</v>
      </c>
      <c r="AC17" s="239">
        <f t="shared" si="11"/>
        <v>55522.000000000007</v>
      </c>
      <c r="AD17" s="239">
        <f t="shared" si="12"/>
        <v>57742.880000000005</v>
      </c>
      <c r="AE17" s="239">
        <f t="shared" si="13"/>
        <v>60052.595200000003</v>
      </c>
      <c r="AF17" s="244">
        <f t="shared" si="14"/>
        <v>62454.69900799996</v>
      </c>
      <c r="AG17" s="238">
        <v>534.72</v>
      </c>
      <c r="AH17" s="239">
        <v>564.81479999999999</v>
      </c>
      <c r="AI17" s="239">
        <v>529.61325360000001</v>
      </c>
      <c r="AJ17" s="239">
        <v>550.79778374400007</v>
      </c>
      <c r="AK17" s="239">
        <v>572.82969509376005</v>
      </c>
      <c r="AL17" s="242">
        <v>595.74288289750996</v>
      </c>
      <c r="AM17" s="245"/>
      <c r="AN17" s="246"/>
    </row>
    <row r="18" spans="1:40" ht="15" x14ac:dyDescent="0.2">
      <c r="A18" s="219" t="s">
        <v>169</v>
      </c>
      <c r="B18" s="220" t="s">
        <v>53</v>
      </c>
      <c r="C18" s="225" t="s">
        <v>53</v>
      </c>
      <c r="D18" s="226"/>
      <c r="E18" s="226"/>
      <c r="F18" s="226"/>
      <c r="G18" s="226"/>
      <c r="H18" s="220"/>
      <c r="I18" s="225" t="s">
        <v>53</v>
      </c>
      <c r="J18" s="226"/>
      <c r="K18" s="226"/>
      <c r="L18" s="226"/>
      <c r="M18" s="226"/>
      <c r="N18" s="227"/>
      <c r="O18" s="226"/>
      <c r="P18" s="226"/>
      <c r="Q18" s="226"/>
      <c r="R18" s="226"/>
      <c r="S18" s="226"/>
      <c r="T18" s="227"/>
      <c r="U18" s="225" t="s">
        <v>53</v>
      </c>
      <c r="V18" s="226"/>
      <c r="W18" s="226"/>
      <c r="X18" s="226"/>
      <c r="Y18" s="226"/>
      <c r="Z18" s="220"/>
      <c r="AA18" s="203"/>
      <c r="AB18" s="204"/>
      <c r="AC18" s="204"/>
      <c r="AD18" s="204"/>
      <c r="AE18" s="204"/>
      <c r="AF18" s="205"/>
      <c r="AG18" s="225" t="s">
        <v>53</v>
      </c>
      <c r="AH18" s="226"/>
      <c r="AI18" s="226"/>
      <c r="AJ18" s="226"/>
      <c r="AK18" s="226"/>
      <c r="AL18" s="227"/>
      <c r="AM18" s="210"/>
      <c r="AN18" s="196"/>
    </row>
    <row r="19" spans="1:40" ht="15" x14ac:dyDescent="0.2">
      <c r="A19" s="219" t="s">
        <v>210</v>
      </c>
      <c r="B19" s="228" t="s">
        <v>211</v>
      </c>
      <c r="C19" s="248"/>
      <c r="D19" s="230">
        <v>0</v>
      </c>
      <c r="E19" s="230">
        <v>0</v>
      </c>
      <c r="F19" s="230">
        <v>0</v>
      </c>
      <c r="G19" s="230">
        <v>0</v>
      </c>
      <c r="H19" s="231">
        <v>0</v>
      </c>
      <c r="I19" s="248"/>
      <c r="J19" s="232">
        <v>0</v>
      </c>
      <c r="K19" s="232">
        <v>0</v>
      </c>
      <c r="L19" s="232">
        <v>0</v>
      </c>
      <c r="M19" s="232">
        <v>0</v>
      </c>
      <c r="N19" s="234">
        <v>0</v>
      </c>
      <c r="O19" s="249"/>
      <c r="P19" s="249">
        <v>0</v>
      </c>
      <c r="Q19" s="249">
        <v>0</v>
      </c>
      <c r="R19" s="249">
        <v>0</v>
      </c>
      <c r="S19" s="249">
        <v>0</v>
      </c>
      <c r="T19" s="250">
        <v>0</v>
      </c>
      <c r="U19" s="229">
        <v>142</v>
      </c>
      <c r="V19" s="232">
        <v>142</v>
      </c>
      <c r="W19" s="232">
        <v>0</v>
      </c>
      <c r="X19" s="232">
        <v>0</v>
      </c>
      <c r="Y19" s="232">
        <v>0</v>
      </c>
      <c r="Z19" s="233">
        <v>0</v>
      </c>
      <c r="AA19" s="229">
        <f>AG19/U19/12*1000000</f>
        <v>25710.093896713614</v>
      </c>
      <c r="AB19" s="232">
        <f t="shared" ref="AB19" si="16">AH19/V19/12*1000000</f>
        <v>26088.028169014084</v>
      </c>
      <c r="AC19" s="232">
        <v>0</v>
      </c>
      <c r="AD19" s="232">
        <v>0</v>
      </c>
      <c r="AE19" s="232">
        <v>0</v>
      </c>
      <c r="AF19" s="233">
        <v>0</v>
      </c>
      <c r="AG19" s="229">
        <v>43.81</v>
      </c>
      <c r="AH19" s="232">
        <v>44.454000000000001</v>
      </c>
      <c r="AI19" s="232">
        <v>0</v>
      </c>
      <c r="AJ19" s="232">
        <v>0</v>
      </c>
      <c r="AK19" s="232">
        <v>0</v>
      </c>
      <c r="AL19" s="234">
        <v>0</v>
      </c>
      <c r="AM19" s="251"/>
    </row>
    <row r="20" spans="1:40" s="247" customFormat="1" ht="42.75" x14ac:dyDescent="0.25">
      <c r="A20" s="237" t="s">
        <v>284</v>
      </c>
      <c r="B20" s="252"/>
      <c r="C20" s="238">
        <v>176.25</v>
      </c>
      <c r="D20" s="239">
        <v>264.11709999999999</v>
      </c>
      <c r="E20" s="239">
        <v>291.12732825913616</v>
      </c>
      <c r="F20" s="239">
        <v>302.71169088339553</v>
      </c>
      <c r="G20" s="239">
        <v>312.34753757364854</v>
      </c>
      <c r="H20" s="244">
        <v>262.74554266838658</v>
      </c>
      <c r="I20" s="238">
        <v>260.52999999999997</v>
      </c>
      <c r="J20" s="239">
        <v>341.46710315199999</v>
      </c>
      <c r="K20" s="239">
        <v>376.38667568123202</v>
      </c>
      <c r="L20" s="239">
        <v>391.36362670848098</v>
      </c>
      <c r="M20" s="239">
        <v>403.82142077682096</v>
      </c>
      <c r="N20" s="244">
        <v>339.69302004856303</v>
      </c>
      <c r="O20" s="238"/>
      <c r="P20" s="239">
        <v>2.5999999999999999E-2</v>
      </c>
      <c r="Q20" s="239">
        <v>2.8658847301480411E-2</v>
      </c>
      <c r="R20" s="239">
        <v>0.21839922282554708</v>
      </c>
      <c r="S20" s="239">
        <v>0.22504778461315986</v>
      </c>
      <c r="T20" s="242">
        <v>0.22596491770286628</v>
      </c>
      <c r="U20" s="238">
        <v>531</v>
      </c>
      <c r="V20" s="239">
        <v>550.4</v>
      </c>
      <c r="W20" s="239">
        <v>601.9</v>
      </c>
      <c r="X20" s="239">
        <v>601.9</v>
      </c>
      <c r="Y20" s="239">
        <v>601.9</v>
      </c>
      <c r="Z20" s="244">
        <v>601.9</v>
      </c>
      <c r="AA20" s="238">
        <f t="shared" si="6"/>
        <v>44912.115505335853</v>
      </c>
      <c r="AB20" s="239">
        <f t="shared" si="7"/>
        <v>48270.167151162786</v>
      </c>
      <c r="AC20" s="239">
        <f t="shared" si="11"/>
        <v>52851.189890679518</v>
      </c>
      <c r="AD20" s="239">
        <f t="shared" si="12"/>
        <v>54965.237486306709</v>
      </c>
      <c r="AE20" s="239">
        <f t="shared" si="13"/>
        <v>57163.846985758988</v>
      </c>
      <c r="AF20" s="244">
        <f t="shared" si="14"/>
        <v>59450.400865189265</v>
      </c>
      <c r="AG20" s="238">
        <v>286.18</v>
      </c>
      <c r="AH20" s="239">
        <v>318.81479999999999</v>
      </c>
      <c r="AI20" s="239">
        <v>381.7335743424</v>
      </c>
      <c r="AJ20" s="239">
        <v>397.00291731609605</v>
      </c>
      <c r="AK20" s="239">
        <v>412.88303400873997</v>
      </c>
      <c r="AL20" s="242">
        <v>429.39835536908902</v>
      </c>
      <c r="AM20" s="253"/>
    </row>
    <row r="21" spans="1:40" ht="15" x14ac:dyDescent="0.25">
      <c r="A21" s="254" t="s">
        <v>169</v>
      </c>
      <c r="B21" s="255" t="s">
        <v>53</v>
      </c>
      <c r="C21" s="256" t="s">
        <v>53</v>
      </c>
      <c r="D21" s="257"/>
      <c r="E21" s="257"/>
      <c r="F21" s="257"/>
      <c r="G21" s="257"/>
      <c r="H21" s="258"/>
      <c r="I21" s="256" t="s">
        <v>53</v>
      </c>
      <c r="J21" s="257"/>
      <c r="K21" s="257"/>
      <c r="L21" s="257"/>
      <c r="M21" s="257"/>
      <c r="N21" s="259"/>
      <c r="O21" s="257"/>
      <c r="P21" s="257"/>
      <c r="Q21" s="257"/>
      <c r="R21" s="257"/>
      <c r="S21" s="257"/>
      <c r="T21" s="259"/>
      <c r="U21" s="256" t="s">
        <v>53</v>
      </c>
      <c r="V21" s="257"/>
      <c r="W21" s="257"/>
      <c r="X21" s="257"/>
      <c r="Y21" s="257"/>
      <c r="Z21" s="258"/>
      <c r="AA21" s="203"/>
      <c r="AB21" s="204"/>
      <c r="AC21" s="204"/>
      <c r="AD21" s="204"/>
      <c r="AE21" s="204"/>
      <c r="AF21" s="205"/>
      <c r="AG21" s="256" t="s">
        <v>53</v>
      </c>
      <c r="AH21" s="257"/>
      <c r="AI21" s="257"/>
      <c r="AJ21" s="257"/>
      <c r="AK21" s="257"/>
      <c r="AL21" s="259"/>
      <c r="AM21" s="251"/>
    </row>
    <row r="22" spans="1:40" ht="30" x14ac:dyDescent="0.25">
      <c r="A22" s="254" t="s">
        <v>286</v>
      </c>
      <c r="B22" s="228" t="s">
        <v>256</v>
      </c>
      <c r="C22" s="256"/>
      <c r="D22" s="230">
        <v>275.25069999999999</v>
      </c>
      <c r="E22" s="230">
        <v>307.4554</v>
      </c>
      <c r="F22" s="230">
        <v>319.67509999999999</v>
      </c>
      <c r="G22" s="230">
        <v>329.265353</v>
      </c>
      <c r="H22" s="231">
        <v>339.14331359000005</v>
      </c>
      <c r="I22" s="256"/>
      <c r="J22" s="257">
        <v>275.25069999999999</v>
      </c>
      <c r="K22" s="257">
        <v>307.4554</v>
      </c>
      <c r="L22" s="257">
        <v>319.67509999999999</v>
      </c>
      <c r="M22" s="257">
        <v>329.265353</v>
      </c>
      <c r="N22" s="259">
        <v>339.14331359000005</v>
      </c>
      <c r="O22" s="257"/>
      <c r="P22" s="257">
        <v>0</v>
      </c>
      <c r="Q22" s="257">
        <v>0</v>
      </c>
      <c r="R22" s="260">
        <v>0.18859999999997673</v>
      </c>
      <c r="S22" s="260">
        <v>0.19425799999997254</v>
      </c>
      <c r="T22" s="261">
        <v>0.20008574000000953</v>
      </c>
      <c r="U22" s="229"/>
      <c r="V22" s="232">
        <v>191.9</v>
      </c>
      <c r="W22" s="232">
        <v>187.4</v>
      </c>
      <c r="X22" s="232">
        <v>195</v>
      </c>
      <c r="Y22" s="232">
        <v>200</v>
      </c>
      <c r="Z22" s="233">
        <v>205</v>
      </c>
      <c r="AA22" s="262"/>
      <c r="AB22" s="263"/>
      <c r="AC22" s="263"/>
      <c r="AD22" s="263"/>
      <c r="AE22" s="263"/>
      <c r="AF22" s="264"/>
      <c r="AG22" s="229"/>
      <c r="AH22" s="232">
        <v>83.974999999999994</v>
      </c>
      <c r="AI22" s="232">
        <v>83</v>
      </c>
      <c r="AJ22" s="232">
        <v>84</v>
      </c>
      <c r="AK22" s="232">
        <v>85</v>
      </c>
      <c r="AL22" s="234">
        <v>86</v>
      </c>
      <c r="AM22" s="251"/>
    </row>
    <row r="23" spans="1:40" s="247" customFormat="1" ht="57" x14ac:dyDescent="0.25">
      <c r="A23" s="237" t="s">
        <v>285</v>
      </c>
      <c r="B23" s="252"/>
      <c r="C23" s="238">
        <v>22.1</v>
      </c>
      <c r="D23" s="239">
        <v>58.895999700477994</v>
      </c>
      <c r="E23" s="239">
        <v>61.075151689395675</v>
      </c>
      <c r="F23" s="239">
        <v>63.518157756971497</v>
      </c>
      <c r="G23" s="239">
        <v>66.058884067250375</v>
      </c>
      <c r="H23" s="244">
        <v>68.701239429940387</v>
      </c>
      <c r="I23" s="238">
        <v>22.1</v>
      </c>
      <c r="J23" s="239">
        <v>58.895999700477994</v>
      </c>
      <c r="K23" s="239">
        <v>61.075151689395675</v>
      </c>
      <c r="L23" s="239">
        <v>63.518157756971497</v>
      </c>
      <c r="M23" s="239">
        <v>66.058884067250375</v>
      </c>
      <c r="N23" s="244">
        <v>68.701239429940387</v>
      </c>
      <c r="O23" s="238">
        <v>0.16</v>
      </c>
      <c r="P23" s="239">
        <v>0.17799999999999999</v>
      </c>
      <c r="Q23" s="239">
        <v>0.18458599999999997</v>
      </c>
      <c r="R23" s="239">
        <v>0.19196943999999999</v>
      </c>
      <c r="S23" s="239">
        <v>0.19964821760000004</v>
      </c>
      <c r="T23" s="242">
        <v>0.20763414630400001</v>
      </c>
      <c r="U23" s="238">
        <v>114</v>
      </c>
      <c r="V23" s="239">
        <v>116</v>
      </c>
      <c r="W23" s="239">
        <v>116</v>
      </c>
      <c r="X23" s="239">
        <v>116</v>
      </c>
      <c r="Y23" s="239">
        <v>116</v>
      </c>
      <c r="Z23" s="244">
        <v>116</v>
      </c>
      <c r="AA23" s="238">
        <f t="shared" si="6"/>
        <v>25182.7485380117</v>
      </c>
      <c r="AB23" s="239">
        <f t="shared" si="7"/>
        <v>28184.626436781604</v>
      </c>
      <c r="AC23" s="239">
        <f t="shared" si="11"/>
        <v>29396.565373563222</v>
      </c>
      <c r="AD23" s="239">
        <f t="shared" si="12"/>
        <v>30572.427988505744</v>
      </c>
      <c r="AE23" s="239">
        <f t="shared" si="13"/>
        <v>31795.325108045974</v>
      </c>
      <c r="AF23" s="244">
        <f t="shared" si="14"/>
        <v>33067.138112367815</v>
      </c>
      <c r="AG23" s="238">
        <v>34.450000000000003</v>
      </c>
      <c r="AH23" s="239">
        <v>39.232999999999997</v>
      </c>
      <c r="AI23" s="239">
        <v>40.920019000000003</v>
      </c>
      <c r="AJ23" s="239">
        <v>42.556819759999996</v>
      </c>
      <c r="AK23" s="239">
        <v>44.259092550399998</v>
      </c>
      <c r="AL23" s="242">
        <v>46.029456252415997</v>
      </c>
      <c r="AM23" s="253"/>
    </row>
    <row r="24" spans="1:40" s="247" customFormat="1" ht="15" x14ac:dyDescent="0.25">
      <c r="A24" s="237" t="s">
        <v>172</v>
      </c>
      <c r="B24" s="252"/>
      <c r="C24" s="238">
        <v>939.85</v>
      </c>
      <c r="D24" s="239">
        <v>1106.7823000000001</v>
      </c>
      <c r="E24" s="239">
        <v>1146.6264628000001</v>
      </c>
      <c r="F24" s="239">
        <v>1194.7847742376</v>
      </c>
      <c r="G24" s="239">
        <v>1246.16051952982</v>
      </c>
      <c r="H24" s="244">
        <v>1297.25310083054</v>
      </c>
      <c r="I24" s="238">
        <v>939.85</v>
      </c>
      <c r="J24" s="239">
        <v>1106.7823000000001</v>
      </c>
      <c r="K24" s="239">
        <v>1146.6264628000001</v>
      </c>
      <c r="L24" s="239">
        <v>1194.7847742376</v>
      </c>
      <c r="M24" s="239">
        <v>1246.16051952982</v>
      </c>
      <c r="N24" s="242">
        <v>1297.25310083054</v>
      </c>
      <c r="O24" s="240"/>
      <c r="P24" s="240"/>
      <c r="Q24" s="240"/>
      <c r="R24" s="240"/>
      <c r="S24" s="240"/>
      <c r="T24" s="243"/>
      <c r="U24" s="238">
        <v>442</v>
      </c>
      <c r="V24" s="239">
        <v>351.8</v>
      </c>
      <c r="W24" s="239">
        <v>351.8</v>
      </c>
      <c r="X24" s="239">
        <v>351.8</v>
      </c>
      <c r="Y24" s="239">
        <v>351.8</v>
      </c>
      <c r="Z24" s="244">
        <v>351.8</v>
      </c>
      <c r="AA24" s="203">
        <f t="shared" si="6"/>
        <v>66312.217194570141</v>
      </c>
      <c r="AB24" s="204">
        <f t="shared" si="7"/>
        <v>66255.992988440397</v>
      </c>
      <c r="AC24" s="204">
        <f t="shared" si="11"/>
        <v>69104.18735645253</v>
      </c>
      <c r="AD24" s="204">
        <f t="shared" si="12"/>
        <v>71868.354850710617</v>
      </c>
      <c r="AE24" s="204">
        <f t="shared" si="13"/>
        <v>74743.089044738968</v>
      </c>
      <c r="AF24" s="205">
        <f t="shared" si="14"/>
        <v>77732.812606528561</v>
      </c>
      <c r="AG24" s="265">
        <v>351.72</v>
      </c>
      <c r="AH24" s="240">
        <v>279.7063</v>
      </c>
      <c r="AI24" s="240">
        <v>291.73023734400005</v>
      </c>
      <c r="AJ24" s="240">
        <v>303.39944683775997</v>
      </c>
      <c r="AK24" s="240">
        <v>315.53542471127002</v>
      </c>
      <c r="AL24" s="243">
        <v>328.15684169972099</v>
      </c>
      <c r="AM24" s="253"/>
    </row>
    <row r="25" spans="1:40" s="247" customFormat="1" ht="44.25" customHeight="1" x14ac:dyDescent="0.25">
      <c r="A25" s="237" t="s">
        <v>173</v>
      </c>
      <c r="B25" s="252"/>
      <c r="C25" s="238">
        <v>15.26</v>
      </c>
      <c r="D25" s="239">
        <v>14.641999999999999</v>
      </c>
      <c r="E25" s="239">
        <v>15.491955344623937</v>
      </c>
      <c r="F25" s="239">
        <v>16.049708881508366</v>
      </c>
      <c r="G25" s="239">
        <v>16.675364392250518</v>
      </c>
      <c r="H25" s="244">
        <v>17.308719037063963</v>
      </c>
      <c r="I25" s="238">
        <v>1650.42</v>
      </c>
      <c r="J25" s="239">
        <v>1628.7637</v>
      </c>
      <c r="K25" s="239">
        <v>1723.5435253000001</v>
      </c>
      <c r="L25" s="239">
        <v>1785.5958922108</v>
      </c>
      <c r="M25" s="239">
        <v>1855.2026320070202</v>
      </c>
      <c r="N25" s="242">
        <v>1925.66593202329</v>
      </c>
      <c r="O25" s="240">
        <v>0.43</v>
      </c>
      <c r="P25" s="240">
        <v>1.0640000000000001</v>
      </c>
      <c r="Q25" s="240">
        <v>1.0044420000000001</v>
      </c>
      <c r="R25" s="240">
        <v>1.0393899120000001</v>
      </c>
      <c r="S25" s="240">
        <v>1.0782461185679999</v>
      </c>
      <c r="T25" s="243">
        <v>1.118545471073584</v>
      </c>
      <c r="U25" s="238">
        <v>206</v>
      </c>
      <c r="V25" s="239">
        <v>217.7</v>
      </c>
      <c r="W25" s="239">
        <v>210</v>
      </c>
      <c r="X25" s="239">
        <v>210</v>
      </c>
      <c r="Y25" s="239">
        <v>210</v>
      </c>
      <c r="Z25" s="241">
        <v>210</v>
      </c>
      <c r="AA25" s="203">
        <f t="shared" si="6"/>
        <v>35622.97734627832</v>
      </c>
      <c r="AB25" s="204">
        <f t="shared" si="7"/>
        <v>33969.759608023276</v>
      </c>
      <c r="AC25" s="204">
        <f t="shared" si="11"/>
        <v>35569.700000000004</v>
      </c>
      <c r="AD25" s="204">
        <f t="shared" si="12"/>
        <v>36992.487999999998</v>
      </c>
      <c r="AE25" s="204">
        <f t="shared" si="13"/>
        <v>38472.187519999999</v>
      </c>
      <c r="AF25" s="205">
        <f t="shared" si="14"/>
        <v>40011.075020800003</v>
      </c>
      <c r="AG25" s="265">
        <v>88.06</v>
      </c>
      <c r="AH25" s="240">
        <v>88.74260000000001</v>
      </c>
      <c r="AI25" s="240">
        <v>89.635643999999999</v>
      </c>
      <c r="AJ25" s="240">
        <v>93.221069759999992</v>
      </c>
      <c r="AK25" s="240">
        <v>96.949912550400001</v>
      </c>
      <c r="AL25" s="243">
        <v>100.827909052416</v>
      </c>
      <c r="AM25" s="253"/>
    </row>
    <row r="26" spans="1:40" ht="15" x14ac:dyDescent="0.2">
      <c r="A26" s="266" t="s">
        <v>169</v>
      </c>
      <c r="B26" s="255" t="s">
        <v>53</v>
      </c>
      <c r="C26" s="256" t="s">
        <v>53</v>
      </c>
      <c r="D26" s="257"/>
      <c r="E26" s="257"/>
      <c r="F26" s="257"/>
      <c r="G26" s="257"/>
      <c r="H26" s="258"/>
      <c r="I26" s="256" t="s">
        <v>53</v>
      </c>
      <c r="J26" s="257"/>
      <c r="K26" s="257"/>
      <c r="L26" s="257"/>
      <c r="M26" s="257"/>
      <c r="N26" s="259"/>
      <c r="O26" s="257"/>
      <c r="P26" s="257"/>
      <c r="Q26" s="257"/>
      <c r="R26" s="257"/>
      <c r="S26" s="257"/>
      <c r="T26" s="259"/>
      <c r="U26" s="256" t="s">
        <v>53</v>
      </c>
      <c r="V26" s="257"/>
      <c r="W26" s="257"/>
      <c r="X26" s="257"/>
      <c r="Y26" s="257"/>
      <c r="Z26" s="258"/>
      <c r="AA26" s="203"/>
      <c r="AB26" s="204"/>
      <c r="AC26" s="204"/>
      <c r="AD26" s="204"/>
      <c r="AE26" s="204"/>
      <c r="AF26" s="205"/>
      <c r="AG26" s="256" t="s">
        <v>53</v>
      </c>
      <c r="AH26" s="257"/>
      <c r="AI26" s="257"/>
      <c r="AJ26" s="257"/>
      <c r="AK26" s="257"/>
      <c r="AL26" s="259"/>
      <c r="AM26" s="251"/>
    </row>
    <row r="27" spans="1:40" ht="15" x14ac:dyDescent="0.25">
      <c r="A27" s="267" t="s">
        <v>220</v>
      </c>
      <c r="B27" s="268" t="s">
        <v>215</v>
      </c>
      <c r="C27" s="248"/>
      <c r="D27" s="230">
        <v>43.496000000000002</v>
      </c>
      <c r="E27" s="230">
        <v>46.062264000000006</v>
      </c>
      <c r="F27" s="230">
        <v>47.720505504000002</v>
      </c>
      <c r="G27" s="230">
        <v>49.581605218655994</v>
      </c>
      <c r="H27" s="231">
        <v>51.465706216964897</v>
      </c>
      <c r="I27" s="229"/>
      <c r="J27" s="232">
        <v>43.496000000000002</v>
      </c>
      <c r="K27" s="232">
        <v>46.062264000000006</v>
      </c>
      <c r="L27" s="232">
        <v>47.720505504000002</v>
      </c>
      <c r="M27" s="232">
        <v>49.581605218655994</v>
      </c>
      <c r="N27" s="234">
        <v>51.465706216964897</v>
      </c>
      <c r="O27" s="229"/>
      <c r="P27" s="232"/>
      <c r="Q27" s="232"/>
      <c r="R27" s="232"/>
      <c r="S27" s="232"/>
      <c r="T27" s="234"/>
      <c r="U27" s="229"/>
      <c r="V27" s="232">
        <v>77</v>
      </c>
      <c r="W27" s="232">
        <v>75</v>
      </c>
      <c r="X27" s="232">
        <v>71</v>
      </c>
      <c r="Y27" s="232">
        <v>68</v>
      </c>
      <c r="Z27" s="233">
        <v>68</v>
      </c>
      <c r="AA27" s="229"/>
      <c r="AB27" s="232"/>
      <c r="AC27" s="232"/>
      <c r="AD27" s="232"/>
      <c r="AE27" s="232"/>
      <c r="AF27" s="233"/>
      <c r="AG27" s="269"/>
      <c r="AH27" s="249"/>
      <c r="AI27" s="249"/>
      <c r="AJ27" s="249"/>
      <c r="AK27" s="249"/>
      <c r="AL27" s="250"/>
      <c r="AM27" s="251"/>
    </row>
    <row r="28" spans="1:40" ht="15" x14ac:dyDescent="0.25">
      <c r="A28" s="267" t="s">
        <v>260</v>
      </c>
      <c r="B28" s="268" t="s">
        <v>215</v>
      </c>
      <c r="C28" s="248"/>
      <c r="D28" s="230">
        <v>8.9870000000000001</v>
      </c>
      <c r="E28" s="230">
        <v>8.1999999999999993</v>
      </c>
      <c r="F28" s="230">
        <v>8.5</v>
      </c>
      <c r="G28" s="230">
        <v>8.8000000000000007</v>
      </c>
      <c r="H28" s="231">
        <v>9.1</v>
      </c>
      <c r="I28" s="229">
        <v>9.14</v>
      </c>
      <c r="J28" s="232">
        <v>8.9870000000000001</v>
      </c>
      <c r="K28" s="232">
        <v>8.1999999999999993</v>
      </c>
      <c r="L28" s="232">
        <v>8.5</v>
      </c>
      <c r="M28" s="232">
        <v>8.8000000000000007</v>
      </c>
      <c r="N28" s="234">
        <v>9.1</v>
      </c>
      <c r="O28" s="229">
        <v>0.43</v>
      </c>
      <c r="P28" s="232">
        <v>0.22600000000000001</v>
      </c>
      <c r="Q28" s="232">
        <v>0.11700000000000001</v>
      </c>
      <c r="R28" s="232">
        <v>0.12</v>
      </c>
      <c r="S28" s="232">
        <v>0.123</v>
      </c>
      <c r="T28" s="234">
        <v>0.127</v>
      </c>
      <c r="U28" s="229">
        <v>4</v>
      </c>
      <c r="V28" s="232">
        <v>6</v>
      </c>
      <c r="W28" s="232">
        <v>6</v>
      </c>
      <c r="X28" s="232">
        <v>6</v>
      </c>
      <c r="Y28" s="232">
        <v>6</v>
      </c>
      <c r="Z28" s="233">
        <v>6</v>
      </c>
      <c r="AA28" s="229">
        <f>AG28/U28/12*1000000</f>
        <v>41458.333333333336</v>
      </c>
      <c r="AB28" s="232">
        <f t="shared" ref="AB28:AF28" si="17">AH28/V28/12*1000000</f>
        <v>25916.666666666668</v>
      </c>
      <c r="AC28" s="232">
        <f t="shared" si="17"/>
        <v>27777.777777777777</v>
      </c>
      <c r="AD28" s="232">
        <f t="shared" si="17"/>
        <v>28722.222222222223</v>
      </c>
      <c r="AE28" s="232">
        <f t="shared" si="17"/>
        <v>29333.333333333336</v>
      </c>
      <c r="AF28" s="233">
        <f t="shared" si="17"/>
        <v>30333.333333333336</v>
      </c>
      <c r="AG28" s="229">
        <v>1.99</v>
      </c>
      <c r="AH28" s="232">
        <v>1.8660000000000001</v>
      </c>
      <c r="AI28" s="232">
        <v>2</v>
      </c>
      <c r="AJ28" s="232">
        <v>2.0680000000000001</v>
      </c>
      <c r="AK28" s="232">
        <v>2.1120000000000001</v>
      </c>
      <c r="AL28" s="234">
        <v>2.1840000000000002</v>
      </c>
      <c r="AM28" s="251"/>
    </row>
    <row r="29" spans="1:40" ht="15" x14ac:dyDescent="0.25">
      <c r="A29" s="267" t="s">
        <v>259</v>
      </c>
      <c r="B29" s="268" t="s">
        <v>215</v>
      </c>
      <c r="C29" s="248"/>
      <c r="D29" s="230">
        <v>73.486999999999995</v>
      </c>
      <c r="E29" s="230">
        <v>77.822732999999999</v>
      </c>
      <c r="F29" s="230">
        <v>80.624351387999994</v>
      </c>
      <c r="G29" s="230">
        <v>83.768701092132005</v>
      </c>
      <c r="H29" s="231">
        <v>86.951911733632997</v>
      </c>
      <c r="I29" s="229">
        <v>74.81</v>
      </c>
      <c r="J29" s="232">
        <v>73.486999999999995</v>
      </c>
      <c r="K29" s="232">
        <v>77.822732999999999</v>
      </c>
      <c r="L29" s="232">
        <v>80.624351387999994</v>
      </c>
      <c r="M29" s="232">
        <v>83.768701092132005</v>
      </c>
      <c r="N29" s="234">
        <v>86.951911733632997</v>
      </c>
      <c r="O29" s="229">
        <v>0</v>
      </c>
      <c r="P29" s="232"/>
      <c r="Q29" s="232"/>
      <c r="R29" s="232"/>
      <c r="S29" s="232"/>
      <c r="T29" s="234"/>
      <c r="U29" s="229">
        <v>24</v>
      </c>
      <c r="V29" s="232">
        <v>23</v>
      </c>
      <c r="W29" s="232">
        <v>23</v>
      </c>
      <c r="X29" s="232">
        <v>23</v>
      </c>
      <c r="Y29" s="232">
        <v>23</v>
      </c>
      <c r="Z29" s="233">
        <v>23</v>
      </c>
      <c r="AA29" s="229">
        <f>AG29/U29/12*1000000</f>
        <v>31909.722222222223</v>
      </c>
      <c r="AB29" s="232">
        <f t="shared" ref="AB29:AF29" si="18">AH29/V29/12*1000000</f>
        <v>0</v>
      </c>
      <c r="AC29" s="232">
        <f t="shared" si="18"/>
        <v>0</v>
      </c>
      <c r="AD29" s="232">
        <f t="shared" si="18"/>
        <v>0</v>
      </c>
      <c r="AE29" s="232">
        <f t="shared" si="18"/>
        <v>0</v>
      </c>
      <c r="AF29" s="233">
        <f t="shared" si="18"/>
        <v>0</v>
      </c>
      <c r="AG29" s="229">
        <v>9.19</v>
      </c>
      <c r="AH29" s="232">
        <v>0</v>
      </c>
      <c r="AI29" s="232">
        <v>0</v>
      </c>
      <c r="AJ29" s="232">
        <v>0</v>
      </c>
      <c r="AK29" s="232">
        <v>0</v>
      </c>
      <c r="AL29" s="234">
        <v>0</v>
      </c>
      <c r="AM29" s="251"/>
    </row>
    <row r="30" spans="1:40" s="247" customFormat="1" ht="15" x14ac:dyDescent="0.25">
      <c r="A30" s="270" t="s">
        <v>221</v>
      </c>
      <c r="B30" s="271"/>
      <c r="C30" s="238">
        <v>1518.07</v>
      </c>
      <c r="D30" s="239">
        <v>1560.0971999999999</v>
      </c>
      <c r="E30" s="239">
        <v>1631.0756220000001</v>
      </c>
      <c r="F30" s="239">
        <v>1695.732859258</v>
      </c>
      <c r="G30" s="239">
        <v>1762.3452919097999</v>
      </c>
      <c r="H30" s="244">
        <v>1824.6245317913699</v>
      </c>
      <c r="I30" s="238">
        <v>1518.07</v>
      </c>
      <c r="J30" s="239">
        <v>1560.0971999999999</v>
      </c>
      <c r="K30" s="239">
        <v>1631.0756220000001</v>
      </c>
      <c r="L30" s="239">
        <v>1695.732859258</v>
      </c>
      <c r="M30" s="239">
        <v>1762.3452919097999</v>
      </c>
      <c r="N30" s="242">
        <v>1824.6245317913699</v>
      </c>
      <c r="O30" s="240">
        <v>0</v>
      </c>
      <c r="P30" s="240">
        <v>56.796999999999997</v>
      </c>
      <c r="Q30" s="240">
        <v>31.286000000000001</v>
      </c>
      <c r="R30" s="240">
        <v>15.933</v>
      </c>
      <c r="S30" s="240">
        <v>16.57</v>
      </c>
      <c r="T30" s="243">
        <v>17.2</v>
      </c>
      <c r="U30" s="238">
        <v>1558</v>
      </c>
      <c r="V30" s="239">
        <v>2197</v>
      </c>
      <c r="W30" s="239">
        <v>2391</v>
      </c>
      <c r="X30" s="239">
        <v>2391</v>
      </c>
      <c r="Y30" s="239">
        <v>2391</v>
      </c>
      <c r="Z30" s="244">
        <v>2391</v>
      </c>
      <c r="AA30" s="203">
        <f t="shared" si="6"/>
        <v>70613.500213949505</v>
      </c>
      <c r="AB30" s="204">
        <f t="shared" si="7"/>
        <v>67797.997648308301</v>
      </c>
      <c r="AC30" s="204">
        <f t="shared" si="11"/>
        <v>66284.36532831451</v>
      </c>
      <c r="AD30" s="204">
        <f t="shared" si="12"/>
        <v>68935.724606161995</v>
      </c>
      <c r="AE30" s="204">
        <f t="shared" si="13"/>
        <v>71967.128217482226</v>
      </c>
      <c r="AF30" s="205">
        <f t="shared" si="14"/>
        <v>74844.385770550682</v>
      </c>
      <c r="AG30" s="265">
        <v>1320.19</v>
      </c>
      <c r="AH30" s="240">
        <v>1787.4264099999998</v>
      </c>
      <c r="AI30" s="240">
        <v>1901.8310099999999</v>
      </c>
      <c r="AJ30" s="240">
        <v>1977.9038103999999</v>
      </c>
      <c r="AK30" s="240">
        <v>2064.880842816</v>
      </c>
      <c r="AL30" s="243">
        <v>2147.4351165286398</v>
      </c>
      <c r="AM30" s="253"/>
    </row>
    <row r="31" spans="1:40" s="251" customFormat="1" ht="15" x14ac:dyDescent="0.2">
      <c r="A31" s="266" t="s">
        <v>169</v>
      </c>
      <c r="B31" s="255" t="s">
        <v>53</v>
      </c>
      <c r="C31" s="256" t="s">
        <v>53</v>
      </c>
      <c r="D31" s="257"/>
      <c r="E31" s="257"/>
      <c r="F31" s="257"/>
      <c r="G31" s="257"/>
      <c r="H31" s="258"/>
      <c r="I31" s="256" t="s">
        <v>53</v>
      </c>
      <c r="J31" s="257"/>
      <c r="K31" s="257"/>
      <c r="L31" s="257"/>
      <c r="M31" s="257"/>
      <c r="N31" s="259"/>
      <c r="O31" s="257"/>
      <c r="P31" s="257"/>
      <c r="Q31" s="257"/>
      <c r="R31" s="257"/>
      <c r="S31" s="257"/>
      <c r="T31" s="259"/>
      <c r="U31" s="256" t="s">
        <v>53</v>
      </c>
      <c r="V31" s="257"/>
      <c r="W31" s="257"/>
      <c r="X31" s="257"/>
      <c r="Y31" s="257"/>
      <c r="Z31" s="258"/>
      <c r="AA31" s="203"/>
      <c r="AB31" s="204"/>
      <c r="AC31" s="204"/>
      <c r="AD31" s="204"/>
      <c r="AE31" s="204"/>
      <c r="AF31" s="205"/>
      <c r="AG31" s="256" t="s">
        <v>53</v>
      </c>
      <c r="AH31" s="257"/>
      <c r="AI31" s="257"/>
      <c r="AJ31" s="257"/>
      <c r="AK31" s="257"/>
      <c r="AL31" s="259"/>
    </row>
    <row r="32" spans="1:40" s="251" customFormat="1" ht="15" x14ac:dyDescent="0.25">
      <c r="A32" s="254" t="s">
        <v>257</v>
      </c>
      <c r="B32" s="268" t="s">
        <v>258</v>
      </c>
      <c r="C32" s="248"/>
      <c r="D32" s="230">
        <v>994.428</v>
      </c>
      <c r="E32" s="230">
        <v>1045.6079999999999</v>
      </c>
      <c r="F32" s="230">
        <v>1087.432</v>
      </c>
      <c r="G32" s="230">
        <v>1130.9290000000001</v>
      </c>
      <c r="H32" s="231">
        <v>1176.1600000000001</v>
      </c>
      <c r="I32" s="229">
        <f>E32</f>
        <v>1045.6079999999999</v>
      </c>
      <c r="J32" s="232">
        <v>994.428</v>
      </c>
      <c r="K32" s="232">
        <v>1045.6079999999999</v>
      </c>
      <c r="L32" s="232">
        <v>1087.432</v>
      </c>
      <c r="M32" s="232">
        <v>1130.9290000000001</v>
      </c>
      <c r="N32" s="234">
        <v>1176.1600000000001</v>
      </c>
      <c r="O32" s="249"/>
      <c r="P32" s="249">
        <v>56.796999999999997</v>
      </c>
      <c r="Q32" s="249">
        <v>31.286000000000001</v>
      </c>
      <c r="R32" s="249">
        <v>15.933</v>
      </c>
      <c r="S32" s="249">
        <v>16.27</v>
      </c>
      <c r="T32" s="250">
        <v>17.233000000000001</v>
      </c>
      <c r="U32" s="229"/>
      <c r="V32" s="232">
        <v>565</v>
      </c>
      <c r="W32" s="232">
        <v>565</v>
      </c>
      <c r="X32" s="232">
        <v>565</v>
      </c>
      <c r="Y32" s="232">
        <v>565</v>
      </c>
      <c r="Z32" s="233">
        <v>565</v>
      </c>
      <c r="AA32" s="229"/>
      <c r="AB32" s="232"/>
      <c r="AC32" s="232">
        <f>AI32/W32/12*1000000</f>
        <v>56941.150442477876</v>
      </c>
      <c r="AD32" s="232">
        <f t="shared" ref="AD32:AF32" si="19">AJ32/X32/12*1000000</f>
        <v>59218.731563421825</v>
      </c>
      <c r="AE32" s="232">
        <f t="shared" si="19"/>
        <v>62746.902654867248</v>
      </c>
      <c r="AF32" s="233">
        <f t="shared" si="19"/>
        <v>65250.737463126832</v>
      </c>
      <c r="AG32" s="229"/>
      <c r="AH32" s="232">
        <v>360.80399999999997</v>
      </c>
      <c r="AI32" s="232">
        <v>386.06099999999998</v>
      </c>
      <c r="AJ32" s="232">
        <v>401.50299999999999</v>
      </c>
      <c r="AK32" s="232">
        <v>425.42399999999998</v>
      </c>
      <c r="AL32" s="234">
        <v>442.4</v>
      </c>
    </row>
    <row r="33" spans="1:39" s="247" customFormat="1" ht="29.25" x14ac:dyDescent="0.25">
      <c r="A33" s="270" t="s">
        <v>241</v>
      </c>
      <c r="B33" s="252"/>
      <c r="C33" s="238">
        <v>15.31</v>
      </c>
      <c r="D33" s="239">
        <v>15.869995999999999</v>
      </c>
      <c r="E33" s="239">
        <v>16.552405827999998</v>
      </c>
      <c r="F33" s="239">
        <v>17.214502061120001</v>
      </c>
      <c r="G33" s="239">
        <v>17.903082143564799</v>
      </c>
      <c r="H33" s="244">
        <v>18.619205429307399</v>
      </c>
      <c r="I33" s="238">
        <v>20.69</v>
      </c>
      <c r="J33" s="239">
        <v>15.869995999999999</v>
      </c>
      <c r="K33" s="239">
        <v>16.552405827999998</v>
      </c>
      <c r="L33" s="239">
        <v>17.214502061120001</v>
      </c>
      <c r="M33" s="239">
        <v>17.903082143564799</v>
      </c>
      <c r="N33" s="242">
        <v>18.619205429307399</v>
      </c>
      <c r="O33" s="240">
        <v>1.2669999999999999</v>
      </c>
      <c r="P33" s="240">
        <v>1.1909000000000001</v>
      </c>
      <c r="Q33" s="240">
        <v>1.2421087000000002</v>
      </c>
      <c r="R33" s="240">
        <v>1.2917930479999999</v>
      </c>
      <c r="S33" s="240">
        <v>1.3434647699200002</v>
      </c>
      <c r="T33" s="243">
        <v>1.3972033607168002</v>
      </c>
      <c r="U33" s="238">
        <v>251.4</v>
      </c>
      <c r="V33" s="239">
        <v>250</v>
      </c>
      <c r="W33" s="239">
        <v>236.5</v>
      </c>
      <c r="X33" s="239">
        <v>236.5</v>
      </c>
      <c r="Y33" s="239">
        <v>236.5</v>
      </c>
      <c r="Z33" s="244">
        <v>236.5</v>
      </c>
      <c r="AA33" s="203">
        <f t="shared" si="6"/>
        <v>59251.524794484219</v>
      </c>
      <c r="AB33" s="204">
        <f t="shared" si="7"/>
        <v>60768.166666666657</v>
      </c>
      <c r="AC33" s="204">
        <f t="shared" si="11"/>
        <v>61411.999999999993</v>
      </c>
      <c r="AD33" s="204">
        <f t="shared" si="12"/>
        <v>63868.479999999989</v>
      </c>
      <c r="AE33" s="204">
        <f t="shared" si="13"/>
        <v>66423.219200000007</v>
      </c>
      <c r="AF33" s="205">
        <f t="shared" si="14"/>
        <v>69080.147968000005</v>
      </c>
      <c r="AG33" s="265">
        <v>178.75</v>
      </c>
      <c r="AH33" s="240">
        <v>182.30449999999999</v>
      </c>
      <c r="AI33" s="240">
        <v>174.28725599999999</v>
      </c>
      <c r="AJ33" s="240">
        <v>181.25874623999999</v>
      </c>
      <c r="AK33" s="240">
        <v>188.50909608960001</v>
      </c>
      <c r="AL33" s="243">
        <v>196.04945993318401</v>
      </c>
      <c r="AM33" s="253"/>
    </row>
    <row r="34" spans="1:39" s="247" customFormat="1" ht="15" x14ac:dyDescent="0.25">
      <c r="A34" s="270" t="s">
        <v>48</v>
      </c>
      <c r="B34" s="252"/>
      <c r="C34" s="238">
        <v>48.67</v>
      </c>
      <c r="D34" s="239">
        <v>29.468</v>
      </c>
      <c r="E34" s="239">
        <v>30.735123999999999</v>
      </c>
      <c r="F34" s="239">
        <v>31.964528959999999</v>
      </c>
      <c r="G34" s="239">
        <v>33.243110118399997</v>
      </c>
      <c r="H34" s="244">
        <v>34.572834523136002</v>
      </c>
      <c r="I34" s="238">
        <v>48.67</v>
      </c>
      <c r="J34" s="239">
        <v>29.468</v>
      </c>
      <c r="K34" s="239">
        <v>30.735123999999999</v>
      </c>
      <c r="L34" s="239">
        <v>31.964528959999999</v>
      </c>
      <c r="M34" s="239">
        <v>33.243110118399997</v>
      </c>
      <c r="N34" s="242">
        <v>34.572834523136002</v>
      </c>
      <c r="O34" s="240"/>
      <c r="P34" s="240"/>
      <c r="Q34" s="240"/>
      <c r="R34" s="240"/>
      <c r="S34" s="240"/>
      <c r="T34" s="243"/>
      <c r="U34" s="238">
        <v>2193</v>
      </c>
      <c r="V34" s="239">
        <v>2287.4</v>
      </c>
      <c r="W34" s="239">
        <v>2267.5</v>
      </c>
      <c r="X34" s="239">
        <v>2267.5</v>
      </c>
      <c r="Y34" s="239">
        <v>2267.5</v>
      </c>
      <c r="Z34" s="241">
        <v>2267.5</v>
      </c>
      <c r="AA34" s="203">
        <f t="shared" si="6"/>
        <v>37153.44277245782</v>
      </c>
      <c r="AB34" s="204">
        <f t="shared" si="7"/>
        <v>40426.973128151316</v>
      </c>
      <c r="AC34" s="204">
        <f t="shared" si="11"/>
        <v>43110.822418228585</v>
      </c>
      <c r="AD34" s="204">
        <f t="shared" si="12"/>
        <v>44832.67538110989</v>
      </c>
      <c r="AE34" s="204">
        <f t="shared" si="13"/>
        <v>46626.001506975379</v>
      </c>
      <c r="AF34" s="205">
        <f t="shared" si="14"/>
        <v>48491.042713891591</v>
      </c>
      <c r="AG34" s="265">
        <v>977.73</v>
      </c>
      <c r="AH34" s="240">
        <v>1109.6718999999998</v>
      </c>
      <c r="AI34" s="240">
        <v>1173.0454779999998</v>
      </c>
      <c r="AJ34" s="240">
        <v>1219.8970971200001</v>
      </c>
      <c r="AK34" s="240">
        <v>1268.6935010048001</v>
      </c>
      <c r="AL34" s="243">
        <v>1319.4412722449902</v>
      </c>
      <c r="AM34" s="253"/>
    </row>
    <row r="35" spans="1:39" s="247" customFormat="1" ht="30.75" customHeight="1" x14ac:dyDescent="0.25">
      <c r="A35" s="312" t="s">
        <v>49</v>
      </c>
      <c r="B35" s="252"/>
      <c r="C35" s="238">
        <v>760.3</v>
      </c>
      <c r="D35" s="239">
        <v>946.72519999999997</v>
      </c>
      <c r="E35" s="239">
        <v>987.43438359999993</v>
      </c>
      <c r="F35" s="239">
        <v>1026.931758944</v>
      </c>
      <c r="G35" s="239">
        <v>1068.0090293017599</v>
      </c>
      <c r="H35" s="244">
        <v>1110.7293904738301</v>
      </c>
      <c r="I35" s="238">
        <v>760.3</v>
      </c>
      <c r="J35" s="239">
        <v>946.72519999999997</v>
      </c>
      <c r="K35" s="239">
        <v>987.43438359999993</v>
      </c>
      <c r="L35" s="239">
        <v>1026.931758944</v>
      </c>
      <c r="M35" s="239">
        <v>1068.0090293017599</v>
      </c>
      <c r="N35" s="242">
        <v>1110.7293904738301</v>
      </c>
      <c r="O35" s="240"/>
      <c r="P35" s="240"/>
      <c r="Q35" s="240"/>
      <c r="R35" s="240"/>
      <c r="S35" s="240"/>
      <c r="T35" s="243"/>
      <c r="U35" s="238">
        <v>1225</v>
      </c>
      <c r="V35" s="239">
        <v>791.90000000000009</v>
      </c>
      <c r="W35" s="239">
        <v>776.90000000000009</v>
      </c>
      <c r="X35" s="239">
        <v>776.90000000000009</v>
      </c>
      <c r="Y35" s="239">
        <v>776.90000000000009</v>
      </c>
      <c r="Z35" s="241">
        <v>776.90000000000009</v>
      </c>
      <c r="AA35" s="203">
        <f t="shared" si="6"/>
        <v>42416.326530612248</v>
      </c>
      <c r="AB35" s="204">
        <f t="shared" si="7"/>
        <v>47341.509870774928</v>
      </c>
      <c r="AC35" s="204">
        <f t="shared" si="11"/>
        <v>48141.674175140506</v>
      </c>
      <c r="AD35" s="204">
        <f t="shared" si="12"/>
        <v>50323.440168189816</v>
      </c>
      <c r="AE35" s="204">
        <f t="shared" si="13"/>
        <v>52604.786407517058</v>
      </c>
      <c r="AF35" s="205">
        <f t="shared" si="14"/>
        <v>54991.339386107175</v>
      </c>
      <c r="AG35" s="265">
        <v>623.52</v>
      </c>
      <c r="AH35" s="240">
        <v>449.87690000000003</v>
      </c>
      <c r="AI35" s="240">
        <v>448.8152</v>
      </c>
      <c r="AJ35" s="240">
        <v>469.15536800000001</v>
      </c>
      <c r="AK35" s="240">
        <v>490.42390272</v>
      </c>
      <c r="AL35" s="243">
        <v>512.67325882880004</v>
      </c>
      <c r="AM35" s="253"/>
    </row>
    <row r="36" spans="1:39" s="247" customFormat="1" ht="15" x14ac:dyDescent="0.25">
      <c r="A36" s="272" t="s">
        <v>7</v>
      </c>
      <c r="B36" s="273"/>
      <c r="C36" s="274">
        <v>255.77</v>
      </c>
      <c r="D36" s="275">
        <v>3325.34</v>
      </c>
      <c r="E36" s="275">
        <v>3501.5</v>
      </c>
      <c r="F36" s="275">
        <v>3644.68</v>
      </c>
      <c r="G36" s="275">
        <v>3787.43</v>
      </c>
      <c r="H36" s="276">
        <v>3915.77</v>
      </c>
      <c r="I36" s="274">
        <v>255.77</v>
      </c>
      <c r="J36" s="275">
        <v>274.83869999999899</v>
      </c>
      <c r="K36" s="275">
        <v>286.65676409999901</v>
      </c>
      <c r="L36" s="275">
        <v>298.12303466399896</v>
      </c>
      <c r="M36" s="275">
        <v>310.04795605055898</v>
      </c>
      <c r="N36" s="277">
        <v>322.44987429258197</v>
      </c>
      <c r="O36" s="278">
        <v>1.8</v>
      </c>
      <c r="P36" s="278">
        <v>2.6656999999999997</v>
      </c>
      <c r="Q36" s="278">
        <v>2.7803250999999998</v>
      </c>
      <c r="R36" s="278">
        <v>2.8915381040000003</v>
      </c>
      <c r="S36" s="278">
        <v>3.00719962816</v>
      </c>
      <c r="T36" s="279">
        <v>3.1274876132864002</v>
      </c>
      <c r="U36" s="274">
        <v>1809.6</v>
      </c>
      <c r="V36" s="274">
        <v>1710.8</v>
      </c>
      <c r="W36" s="274">
        <v>1707.4</v>
      </c>
      <c r="X36" s="274">
        <v>1707.4</v>
      </c>
      <c r="Y36" s="274">
        <v>1707.4</v>
      </c>
      <c r="Z36" s="274">
        <v>1707.4</v>
      </c>
      <c r="AA36" s="280">
        <f t="shared" si="6"/>
        <v>47973.309018567641</v>
      </c>
      <c r="AB36" s="281">
        <f t="shared" si="7"/>
        <v>50251.622048164609</v>
      </c>
      <c r="AC36" s="281">
        <f t="shared" si="11"/>
        <v>51792.301250263568</v>
      </c>
      <c r="AD36" s="281">
        <f t="shared" si="12"/>
        <v>53629.789637785332</v>
      </c>
      <c r="AE36" s="281">
        <f t="shared" si="13"/>
        <v>55540.621377917785</v>
      </c>
      <c r="AF36" s="282">
        <f t="shared" si="14"/>
        <v>57528.003524823216</v>
      </c>
      <c r="AG36" s="283">
        <v>1041.75</v>
      </c>
      <c r="AH36" s="278">
        <v>1031.6457</v>
      </c>
      <c r="AI36" s="278">
        <v>1061.1621018564001</v>
      </c>
      <c r="AJ36" s="278">
        <v>1098.8100339306561</v>
      </c>
      <c r="AK36" s="278">
        <v>1137.9606832878819</v>
      </c>
      <c r="AL36" s="279">
        <v>1178.6797586193979</v>
      </c>
      <c r="AM36" s="253"/>
    </row>
    <row r="37" spans="1:39" s="297" customFormat="1" ht="15" x14ac:dyDescent="0.25">
      <c r="A37" s="284" t="s">
        <v>222</v>
      </c>
      <c r="B37" s="285"/>
      <c r="C37" s="286">
        <v>2649.49</v>
      </c>
      <c r="D37" s="287">
        <v>2049.5239999999999</v>
      </c>
      <c r="E37" s="287">
        <v>2137.6498408440589</v>
      </c>
      <c r="F37" s="287">
        <v>2223.1558344778209</v>
      </c>
      <c r="G37" s="287">
        <v>2312.0820678569312</v>
      </c>
      <c r="H37" s="288">
        <v>2404.5653505712098</v>
      </c>
      <c r="I37" s="286">
        <v>3941.29</v>
      </c>
      <c r="J37" s="289">
        <v>3341.2907</v>
      </c>
      <c r="K37" s="289">
        <v>3484.9662539270103</v>
      </c>
      <c r="L37" s="289">
        <v>3624.3649040840901</v>
      </c>
      <c r="M37" s="289">
        <v>3769.3395002474499</v>
      </c>
      <c r="N37" s="290">
        <v>3920.1130802573502</v>
      </c>
      <c r="O37" s="291">
        <f>3.28+106.97</f>
        <v>110.25</v>
      </c>
      <c r="P37" s="291">
        <v>2.7845615022753005</v>
      </c>
      <c r="Q37" s="291">
        <v>2.9042976917314354</v>
      </c>
      <c r="R37" s="291">
        <v>3.0204695994006929</v>
      </c>
      <c r="S37" s="291">
        <v>3.1412883833767209</v>
      </c>
      <c r="T37" s="292">
        <v>3.2669399187117896</v>
      </c>
      <c r="U37" s="286">
        <v>1475</v>
      </c>
      <c r="V37" s="287">
        <v>1247.1000000000001</v>
      </c>
      <c r="W37" s="287">
        <v>1247.1000000000001</v>
      </c>
      <c r="X37" s="287">
        <v>1247.1000000000001</v>
      </c>
      <c r="Y37" s="287">
        <v>1247.1000000000001</v>
      </c>
      <c r="Z37" s="293">
        <v>1247.1000000000001</v>
      </c>
      <c r="AA37" s="294">
        <f t="shared" si="6"/>
        <v>24239.548022598869</v>
      </c>
      <c r="AB37" s="295">
        <f t="shared" si="7"/>
        <v>26090.528693234966</v>
      </c>
      <c r="AC37" s="295">
        <f t="shared" si="11"/>
        <v>26090.528693234966</v>
      </c>
      <c r="AD37" s="295">
        <f t="shared" si="12"/>
        <v>26090.528693234966</v>
      </c>
      <c r="AE37" s="295">
        <f t="shared" si="13"/>
        <v>27079.887953385183</v>
      </c>
      <c r="AF37" s="293">
        <f t="shared" si="14"/>
        <v>28163.083471520593</v>
      </c>
      <c r="AG37" s="294">
        <v>429.04</v>
      </c>
      <c r="AH37" s="295">
        <v>390.44997999999998</v>
      </c>
      <c r="AI37" s="295">
        <v>390.44997999999998</v>
      </c>
      <c r="AJ37" s="295">
        <v>390.44997999999998</v>
      </c>
      <c r="AK37" s="295">
        <v>405.2559392</v>
      </c>
      <c r="AL37" s="296">
        <v>421.46617676800003</v>
      </c>
    </row>
    <row r="38" spans="1:39" ht="28.5" x14ac:dyDescent="0.2">
      <c r="A38" s="298" t="s">
        <v>174</v>
      </c>
      <c r="B38" s="299"/>
      <c r="C38" s="300">
        <f t="shared" ref="C38:Z38" si="20">C8+C16+C17+C20+C23+C24+C25+C30+C33+C34+C35+C36+C37</f>
        <v>10438.680000000002</v>
      </c>
      <c r="D38" s="300">
        <f t="shared" si="20"/>
        <v>14378.053695700477</v>
      </c>
      <c r="E38" s="300">
        <f t="shared" si="20"/>
        <v>15112.638769326788</v>
      </c>
      <c r="F38" s="300">
        <f t="shared" si="20"/>
        <v>16168.855168482922</v>
      </c>
      <c r="G38" s="300">
        <f t="shared" si="20"/>
        <v>16780.774410444545</v>
      </c>
      <c r="H38" s="301">
        <f t="shared" si="20"/>
        <v>17301.01796050675</v>
      </c>
      <c r="I38" s="300">
        <f t="shared" si="20"/>
        <v>13455.300000000003</v>
      </c>
      <c r="J38" s="300">
        <f t="shared" si="20"/>
        <v>14378.050898852476</v>
      </c>
      <c r="K38" s="300">
        <f t="shared" si="20"/>
        <v>15112.63601992564</v>
      </c>
      <c r="L38" s="300">
        <f t="shared" si="20"/>
        <v>16168.85793712506</v>
      </c>
      <c r="M38" s="300">
        <f t="shared" si="20"/>
        <v>16780.772390016442</v>
      </c>
      <c r="N38" s="300">
        <f t="shared" si="20"/>
        <v>17301.017811518472</v>
      </c>
      <c r="O38" s="300">
        <f t="shared" si="20"/>
        <v>121.547</v>
      </c>
      <c r="P38" s="300">
        <f t="shared" si="20"/>
        <v>234.52316150227529</v>
      </c>
      <c r="Q38" s="300">
        <f t="shared" si="20"/>
        <v>214.67041833903292</v>
      </c>
      <c r="R38" s="300">
        <f t="shared" si="20"/>
        <v>227.10255932622621</v>
      </c>
      <c r="S38" s="300">
        <f t="shared" si="20"/>
        <v>246.92489490223787</v>
      </c>
      <c r="T38" s="300">
        <f t="shared" si="20"/>
        <v>262.16377542779543</v>
      </c>
      <c r="U38" s="300">
        <f t="shared" si="20"/>
        <v>12135</v>
      </c>
      <c r="V38" s="300">
        <f t="shared" si="20"/>
        <v>12175.199999999999</v>
      </c>
      <c r="W38" s="300">
        <f t="shared" si="20"/>
        <v>12103</v>
      </c>
      <c r="X38" s="300">
        <f t="shared" si="20"/>
        <v>12084</v>
      </c>
      <c r="Y38" s="300">
        <f t="shared" si="20"/>
        <v>12134</v>
      </c>
      <c r="Z38" s="300">
        <f t="shared" si="20"/>
        <v>12119</v>
      </c>
      <c r="AA38" s="300">
        <f>AG38/U38/12*1000000</f>
        <v>48285.881060293919</v>
      </c>
      <c r="AB38" s="300">
        <f t="shared" si="7"/>
        <v>51489.42160840617</v>
      </c>
      <c r="AC38" s="300">
        <f t="shared" si="11"/>
        <v>52865.991562093091</v>
      </c>
      <c r="AD38" s="300">
        <f t="shared" si="12"/>
        <v>55039.634539698789</v>
      </c>
      <c r="AE38" s="300">
        <f t="shared" si="13"/>
        <v>57762.405927874439</v>
      </c>
      <c r="AF38" s="300">
        <f t="shared" si="14"/>
        <v>59950.634662099321</v>
      </c>
      <c r="AG38" s="300">
        <f t="shared" ref="AG38:AL38" si="21">AG8+AG16+AG17+AG20+AG23+AG24+AG25+AG30+AG33+AG34+AG35+AG36+AG37</f>
        <v>7031.39</v>
      </c>
      <c r="AH38" s="300">
        <f t="shared" si="21"/>
        <v>7522.7280716000014</v>
      </c>
      <c r="AI38" s="300">
        <f t="shared" si="21"/>
        <v>7678.0451505121509</v>
      </c>
      <c r="AJ38" s="300">
        <f t="shared" si="21"/>
        <v>7981.1873253326421</v>
      </c>
      <c r="AK38" s="300">
        <f t="shared" si="21"/>
        <v>8410.668402345942</v>
      </c>
      <c r="AL38" s="300">
        <f t="shared" si="21"/>
        <v>8718.5008976397803</v>
      </c>
    </row>
    <row r="39" spans="1:39" x14ac:dyDescent="0.2"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</row>
    <row r="40" spans="1:39" hidden="1" x14ac:dyDescent="0.2">
      <c r="J40" s="302"/>
      <c r="K40" s="302"/>
      <c r="L40" s="302"/>
      <c r="M40" s="302"/>
      <c r="N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</row>
    <row r="41" spans="1:39" ht="15" x14ac:dyDescent="0.2">
      <c r="I41" s="302"/>
      <c r="J41" s="302"/>
      <c r="K41" s="302"/>
      <c r="L41" s="302"/>
      <c r="M41" s="302"/>
      <c r="N41" s="302"/>
      <c r="O41" s="302"/>
      <c r="U41" s="303" t="s">
        <v>244</v>
      </c>
      <c r="AG41" s="302"/>
    </row>
    <row r="42" spans="1:39" ht="15" x14ac:dyDescent="0.2">
      <c r="U42" s="303" t="s">
        <v>245</v>
      </c>
      <c r="AC42" s="302"/>
      <c r="AD42" s="302"/>
      <c r="AE42" s="302"/>
      <c r="AF42" s="302"/>
    </row>
    <row r="43" spans="1:39" ht="15" x14ac:dyDescent="0.2">
      <c r="U43" s="303" t="s">
        <v>247</v>
      </c>
      <c r="AG43" s="302"/>
      <c r="AH43" s="302"/>
      <c r="AI43" s="302"/>
      <c r="AJ43" s="302"/>
      <c r="AK43" s="302"/>
      <c r="AL43" s="302"/>
    </row>
    <row r="46" spans="1:39" ht="15" x14ac:dyDescent="0.25">
      <c r="U46" s="304" t="s">
        <v>246</v>
      </c>
    </row>
  </sheetData>
  <mergeCells count="37">
    <mergeCell ref="AI2:AL2"/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1" type="noConversion"/>
  <printOptions horizontalCentered="1"/>
  <pageMargins left="0.39370078740157483" right="0.39370078740157483" top="0.19685039370078741" bottom="0.39370078740157483" header="0" footer="0"/>
  <pageSetup paperSize="9" scale="55" fitToWidth="0" orientation="landscape" r:id="rId1"/>
  <headerFooter alignWithMargins="0"/>
  <colBreaks count="1" manualBreakCount="1">
    <brk id="2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indexed="50"/>
  </sheetPr>
  <dimension ref="A1:AG54"/>
  <sheetViews>
    <sheetView view="pageBreakPreview" topLeftCell="A4" zoomScale="66" zoomScaleNormal="70" zoomScaleSheetLayoutView="66" workbookViewId="0">
      <pane xSplit="1" ySplit="9" topLeftCell="B13" activePane="bottomRight" state="frozen"/>
      <selection activeCell="A4" sqref="A4"/>
      <selection pane="topRight" activeCell="B4" sqref="B4"/>
      <selection pane="bottomLeft" activeCell="A10" sqref="A10"/>
      <selection pane="bottomRight" activeCell="B35" sqref="B35"/>
    </sheetView>
  </sheetViews>
  <sheetFormatPr defaultRowHeight="12.75" x14ac:dyDescent="0.2"/>
  <cols>
    <col min="1" max="1" width="41.7109375" customWidth="1"/>
    <col min="2" max="2" width="11.7109375" style="17" customWidth="1"/>
    <col min="3" max="3" width="10.5703125" customWidth="1"/>
    <col min="4" max="4" width="11.42578125" customWidth="1"/>
    <col min="5" max="5" width="12" customWidth="1"/>
    <col min="6" max="6" width="11.85546875" customWidth="1"/>
    <col min="7" max="7" width="11.5703125" customWidth="1"/>
    <col min="8" max="8" width="12" customWidth="1"/>
    <col min="9" max="9" width="19.28515625" style="14" customWidth="1"/>
    <col min="10" max="10" width="14" customWidth="1"/>
    <col min="11" max="11" width="13.7109375" customWidth="1"/>
    <col min="12" max="12" width="14.140625" customWidth="1"/>
    <col min="13" max="13" width="15.42578125" customWidth="1"/>
    <col min="14" max="14" width="15.5703125" customWidth="1"/>
    <col min="15" max="15" width="14.7109375" customWidth="1"/>
    <col min="16" max="16" width="12.7109375" customWidth="1"/>
    <col min="17" max="17" width="12.42578125" customWidth="1"/>
    <col min="18" max="18" width="12.140625" customWidth="1"/>
    <col min="19" max="19" width="12.42578125" customWidth="1"/>
    <col min="20" max="20" width="13.140625" customWidth="1"/>
    <col min="21" max="21" width="13.42578125" customWidth="1"/>
  </cols>
  <sheetData>
    <row r="1" spans="1:33" ht="22.5" customHeight="1" x14ac:dyDescent="0.2">
      <c r="A1" s="12"/>
      <c r="B1" s="14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380" t="s">
        <v>62</v>
      </c>
      <c r="O1" s="380"/>
      <c r="P1" s="380"/>
      <c r="Q1" s="380"/>
      <c r="R1" s="380"/>
      <c r="S1" s="380"/>
      <c r="T1" s="380"/>
      <c r="U1" s="381"/>
      <c r="V1" s="9"/>
      <c r="W1" s="9"/>
      <c r="X1" s="9"/>
      <c r="Y1" s="9"/>
      <c r="Z1" s="9"/>
      <c r="AA1" s="9"/>
      <c r="AB1" s="9"/>
    </row>
    <row r="2" spans="1:33" ht="82.5" customHeight="1" x14ac:dyDescent="0.2">
      <c r="A2" s="382" t="s">
        <v>68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25"/>
    </row>
    <row r="3" spans="1:33" ht="20.25" x14ac:dyDescent="0.2">
      <c r="A3" s="383" t="s">
        <v>30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26"/>
    </row>
    <row r="4" spans="1:33" ht="24" customHeight="1" x14ac:dyDescent="0.3">
      <c r="A4" s="7"/>
      <c r="B4" s="18"/>
      <c r="C4" s="7"/>
      <c r="D4" s="7"/>
      <c r="E4" s="7"/>
      <c r="F4" s="7"/>
      <c r="G4" s="7"/>
      <c r="H4" s="7"/>
      <c r="I4" s="113"/>
      <c r="J4" s="113"/>
      <c r="K4" s="113"/>
      <c r="L4" s="113"/>
      <c r="M4" s="113"/>
      <c r="N4" s="384" t="s">
        <v>249</v>
      </c>
      <c r="O4" s="384"/>
      <c r="P4" s="384"/>
      <c r="Q4" s="384"/>
      <c r="R4" s="384"/>
      <c r="S4" s="384"/>
      <c r="T4" s="384"/>
      <c r="U4" s="385"/>
    </row>
    <row r="5" spans="1:33" ht="54.75" customHeight="1" x14ac:dyDescent="0.3">
      <c r="A5" s="386" t="s">
        <v>68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7"/>
      <c r="U5" s="4"/>
    </row>
    <row r="6" spans="1:33" ht="18" customHeight="1" x14ac:dyDescent="0.25">
      <c r="A6" s="379" t="s">
        <v>30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93"/>
      <c r="U6" s="39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" customHeight="1" x14ac:dyDescent="0.25">
      <c r="A7" s="39"/>
      <c r="B7" s="94"/>
      <c r="C7" s="39"/>
      <c r="D7" s="39"/>
      <c r="E7" s="39"/>
      <c r="F7" s="39"/>
      <c r="G7" s="39"/>
      <c r="H7" s="39"/>
      <c r="I7" s="92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8" customHeight="1" x14ac:dyDescent="0.25">
      <c r="A8" s="362" t="s">
        <v>54</v>
      </c>
      <c r="B8" s="363" t="s">
        <v>70</v>
      </c>
      <c r="C8" s="364"/>
      <c r="D8" s="364"/>
      <c r="E8" s="364"/>
      <c r="F8" s="364"/>
      <c r="G8" s="364"/>
      <c r="H8" s="365"/>
      <c r="I8" s="362" t="s">
        <v>31</v>
      </c>
      <c r="J8" s="364" t="s">
        <v>261</v>
      </c>
      <c r="K8" s="364"/>
      <c r="L8" s="364"/>
      <c r="M8" s="364"/>
      <c r="N8" s="364"/>
      <c r="O8" s="365"/>
      <c r="P8" s="362" t="s">
        <v>142</v>
      </c>
      <c r="Q8" s="362"/>
      <c r="R8" s="362"/>
      <c r="S8" s="362"/>
      <c r="T8" s="362"/>
      <c r="U8" s="36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8.5" customHeight="1" x14ac:dyDescent="0.25">
      <c r="A9" s="362"/>
      <c r="B9" s="185" t="s">
        <v>9</v>
      </c>
      <c r="C9" s="185" t="s">
        <v>141</v>
      </c>
      <c r="D9" s="185" t="s">
        <v>166</v>
      </c>
      <c r="E9" s="185" t="s">
        <v>197</v>
      </c>
      <c r="F9" s="185" t="s">
        <v>196</v>
      </c>
      <c r="G9" s="185" t="s">
        <v>253</v>
      </c>
      <c r="H9" s="185" t="s">
        <v>267</v>
      </c>
      <c r="I9" s="362"/>
      <c r="J9" s="185" t="s">
        <v>141</v>
      </c>
      <c r="K9" s="185" t="s">
        <v>166</v>
      </c>
      <c r="L9" s="185" t="s">
        <v>197</v>
      </c>
      <c r="M9" s="185" t="s">
        <v>196</v>
      </c>
      <c r="N9" s="185" t="s">
        <v>253</v>
      </c>
      <c r="O9" s="185" t="s">
        <v>267</v>
      </c>
      <c r="P9" s="185" t="s">
        <v>141</v>
      </c>
      <c r="Q9" s="185" t="s">
        <v>166</v>
      </c>
      <c r="R9" s="185" t="s">
        <v>197</v>
      </c>
      <c r="S9" s="185" t="s">
        <v>196</v>
      </c>
      <c r="T9" s="185" t="s">
        <v>253</v>
      </c>
      <c r="U9" s="185" t="s">
        <v>267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51" customHeight="1" x14ac:dyDescent="0.25">
      <c r="A10" s="96" t="s">
        <v>32</v>
      </c>
      <c r="B10" s="185">
        <v>1</v>
      </c>
      <c r="C10" s="185">
        <v>2</v>
      </c>
      <c r="D10" s="185">
        <v>3</v>
      </c>
      <c r="E10" s="185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  <c r="L10" s="185">
        <v>11</v>
      </c>
      <c r="M10" s="185">
        <v>12</v>
      </c>
      <c r="N10" s="185">
        <v>13</v>
      </c>
      <c r="O10" s="185">
        <v>14</v>
      </c>
      <c r="P10" s="40" t="s">
        <v>198</v>
      </c>
      <c r="Q10" s="40" t="s">
        <v>199</v>
      </c>
      <c r="R10" s="40" t="s">
        <v>200</v>
      </c>
      <c r="S10" s="40" t="s">
        <v>201</v>
      </c>
      <c r="T10" s="40" t="s">
        <v>202</v>
      </c>
      <c r="U10" s="185" t="s">
        <v>203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 x14ac:dyDescent="0.25">
      <c r="A11" s="367" t="s">
        <v>33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9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 x14ac:dyDescent="0.2">
      <c r="A12" s="370" t="s">
        <v>186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2"/>
    </row>
    <row r="13" spans="1:33" ht="15.75" x14ac:dyDescent="0.2">
      <c r="A13" s="41" t="s">
        <v>177</v>
      </c>
      <c r="B13" s="52"/>
      <c r="C13" s="53"/>
      <c r="D13" s="54"/>
      <c r="E13" s="54"/>
      <c r="F13" s="54"/>
      <c r="G13" s="54"/>
      <c r="H13" s="54"/>
      <c r="I13" s="55"/>
      <c r="J13" s="56"/>
      <c r="K13" s="56"/>
      <c r="L13" s="56"/>
      <c r="M13" s="56"/>
      <c r="N13" s="56"/>
      <c r="O13" s="56"/>
      <c r="P13" s="55"/>
      <c r="Q13" s="55"/>
      <c r="R13" s="55"/>
      <c r="S13" s="55"/>
      <c r="T13" s="57"/>
      <c r="U13" s="58"/>
    </row>
    <row r="14" spans="1:33" ht="31.5" x14ac:dyDescent="0.2">
      <c r="A14" s="97" t="s">
        <v>178</v>
      </c>
      <c r="B14" s="43" t="s">
        <v>35</v>
      </c>
      <c r="C14" s="59">
        <v>186</v>
      </c>
      <c r="D14" s="59">
        <v>140.4</v>
      </c>
      <c r="E14" s="59">
        <v>0</v>
      </c>
      <c r="F14" s="59">
        <v>0</v>
      </c>
      <c r="G14" s="59">
        <v>0</v>
      </c>
      <c r="H14" s="59">
        <v>0</v>
      </c>
      <c r="I14" s="42">
        <v>75.790000000000006</v>
      </c>
      <c r="J14" s="60">
        <f>C14*I14/1000</f>
        <v>14.09694</v>
      </c>
      <c r="K14" s="60">
        <f>D14*I14/1000</f>
        <v>10.640916000000001</v>
      </c>
      <c r="L14" s="60">
        <f>E14*I14/1000</f>
        <v>0</v>
      </c>
      <c r="M14" s="60">
        <f>F14*I14/1000</f>
        <v>0</v>
      </c>
      <c r="N14" s="60">
        <f>G14*I14/1000</f>
        <v>0</v>
      </c>
      <c r="O14" s="60">
        <f>H14*I14/1000</f>
        <v>0</v>
      </c>
      <c r="P14" s="61">
        <v>95</v>
      </c>
      <c r="Q14" s="61">
        <f>K14/J14*100</f>
        <v>75.483870967741936</v>
      </c>
      <c r="R14" s="61">
        <f>L14/K14*100</f>
        <v>0</v>
      </c>
      <c r="S14" s="61" t="e">
        <f t="shared" ref="S14:U17" si="0">M14/L14*100</f>
        <v>#DIV/0!</v>
      </c>
      <c r="T14" s="61" t="e">
        <f t="shared" si="0"/>
        <v>#DIV/0!</v>
      </c>
      <c r="U14" s="98" t="e">
        <f t="shared" si="0"/>
        <v>#DIV/0!</v>
      </c>
    </row>
    <row r="15" spans="1:33" ht="47.25" x14ac:dyDescent="0.2">
      <c r="A15" s="97" t="s">
        <v>179</v>
      </c>
      <c r="B15" s="43" t="s">
        <v>35</v>
      </c>
      <c r="C15" s="59">
        <v>252.8</v>
      </c>
      <c r="D15" s="59">
        <v>106.6</v>
      </c>
      <c r="E15" s="59">
        <v>0</v>
      </c>
      <c r="F15" s="59">
        <v>0</v>
      </c>
      <c r="G15" s="59">
        <v>0</v>
      </c>
      <c r="H15" s="59">
        <v>0</v>
      </c>
      <c r="I15" s="42">
        <v>74.56</v>
      </c>
      <c r="J15" s="60">
        <f t="shared" ref="J15:J17" si="1">C15*I15/1000</f>
        <v>18.848768</v>
      </c>
      <c r="K15" s="60">
        <f t="shared" ref="K15:K17" si="2">D15*I15/1000</f>
        <v>7.9480959999999996</v>
      </c>
      <c r="L15" s="60">
        <f t="shared" ref="L15:L17" si="3">E15*I15/1000</f>
        <v>0</v>
      </c>
      <c r="M15" s="60">
        <f t="shared" ref="M15:M17" si="4">F15*I15/1000</f>
        <v>0</v>
      </c>
      <c r="N15" s="60">
        <f t="shared" ref="N15:N17" si="5">G15*I15/1000</f>
        <v>0</v>
      </c>
      <c r="O15" s="60">
        <f t="shared" ref="O15:O17" si="6">H15*I15/1000</f>
        <v>0</v>
      </c>
      <c r="P15" s="61">
        <v>125.1</v>
      </c>
      <c r="Q15" s="61">
        <f t="shared" ref="Q15:Q17" si="7">K15/J15*100</f>
        <v>42.167721518987342</v>
      </c>
      <c r="R15" s="61">
        <f t="shared" ref="R15:R17" si="8">L15/K15*100</f>
        <v>0</v>
      </c>
      <c r="S15" s="61" t="e">
        <f t="shared" si="0"/>
        <v>#DIV/0!</v>
      </c>
      <c r="T15" s="61" t="e">
        <f t="shared" si="0"/>
        <v>#DIV/0!</v>
      </c>
      <c r="U15" s="98" t="e">
        <f t="shared" si="0"/>
        <v>#DIV/0!</v>
      </c>
    </row>
    <row r="16" spans="1:33" ht="47.25" x14ac:dyDescent="0.2">
      <c r="A16" s="97" t="s">
        <v>180</v>
      </c>
      <c r="B16" s="43" t="s">
        <v>35</v>
      </c>
      <c r="C16" s="59">
        <v>446.1</v>
      </c>
      <c r="D16" s="59">
        <v>339.5</v>
      </c>
      <c r="E16" s="59">
        <v>0</v>
      </c>
      <c r="F16" s="59">
        <v>0</v>
      </c>
      <c r="G16" s="59">
        <v>0</v>
      </c>
      <c r="H16" s="59">
        <v>0</v>
      </c>
      <c r="I16" s="42">
        <v>46.58</v>
      </c>
      <c r="J16" s="60">
        <f t="shared" si="1"/>
        <v>20.779337999999999</v>
      </c>
      <c r="K16" s="60">
        <f t="shared" si="2"/>
        <v>15.81391</v>
      </c>
      <c r="L16" s="60">
        <f t="shared" si="3"/>
        <v>0</v>
      </c>
      <c r="M16" s="60">
        <f t="shared" si="4"/>
        <v>0</v>
      </c>
      <c r="N16" s="60">
        <f t="shared" si="5"/>
        <v>0</v>
      </c>
      <c r="O16" s="60">
        <f t="shared" si="6"/>
        <v>0</v>
      </c>
      <c r="P16" s="61">
        <v>124.2</v>
      </c>
      <c r="Q16" s="61">
        <f t="shared" si="7"/>
        <v>76.104012553239187</v>
      </c>
      <c r="R16" s="61">
        <f t="shared" si="8"/>
        <v>0</v>
      </c>
      <c r="S16" s="61" t="e">
        <f t="shared" si="0"/>
        <v>#DIV/0!</v>
      </c>
      <c r="T16" s="61" t="e">
        <f t="shared" si="0"/>
        <v>#DIV/0!</v>
      </c>
      <c r="U16" s="98" t="e">
        <f t="shared" si="0"/>
        <v>#DIV/0!</v>
      </c>
    </row>
    <row r="17" spans="1:22" ht="47.25" x14ac:dyDescent="0.2">
      <c r="A17" s="99" t="s">
        <v>181</v>
      </c>
      <c r="B17" s="49" t="s">
        <v>35</v>
      </c>
      <c r="C17" s="62">
        <v>1805.1</v>
      </c>
      <c r="D17" s="62">
        <v>1795.1</v>
      </c>
      <c r="E17" s="59">
        <v>0</v>
      </c>
      <c r="F17" s="59">
        <v>0</v>
      </c>
      <c r="G17" s="59">
        <v>0</v>
      </c>
      <c r="H17" s="59">
        <v>0</v>
      </c>
      <c r="I17" s="44">
        <v>104.62</v>
      </c>
      <c r="J17" s="63">
        <f t="shared" si="1"/>
        <v>188.84956199999999</v>
      </c>
      <c r="K17" s="63">
        <f t="shared" si="2"/>
        <v>187.80336199999999</v>
      </c>
      <c r="L17" s="63">
        <f t="shared" si="3"/>
        <v>0</v>
      </c>
      <c r="M17" s="63">
        <f t="shared" si="4"/>
        <v>0</v>
      </c>
      <c r="N17" s="63">
        <f t="shared" si="5"/>
        <v>0</v>
      </c>
      <c r="O17" s="63">
        <f t="shared" si="6"/>
        <v>0</v>
      </c>
      <c r="P17" s="64">
        <v>128.5</v>
      </c>
      <c r="Q17" s="64">
        <f t="shared" si="7"/>
        <v>99.446014071242601</v>
      </c>
      <c r="R17" s="64">
        <f t="shared" si="8"/>
        <v>0</v>
      </c>
      <c r="S17" s="64" t="e">
        <f t="shared" si="0"/>
        <v>#DIV/0!</v>
      </c>
      <c r="T17" s="64" t="e">
        <f t="shared" si="0"/>
        <v>#DIV/0!</v>
      </c>
      <c r="U17" s="100" t="e">
        <f t="shared" si="0"/>
        <v>#DIV/0!</v>
      </c>
    </row>
    <row r="18" spans="1:22" ht="15.75" x14ac:dyDescent="0.2">
      <c r="A18" s="45"/>
      <c r="B18" s="47" t="s">
        <v>53</v>
      </c>
      <c r="C18" s="65" t="s">
        <v>53</v>
      </c>
      <c r="D18" s="65" t="s">
        <v>53</v>
      </c>
      <c r="E18" s="65" t="s">
        <v>53</v>
      </c>
      <c r="F18" s="65"/>
      <c r="G18" s="65" t="s">
        <v>53</v>
      </c>
      <c r="H18" s="65"/>
      <c r="I18" s="46" t="s">
        <v>53</v>
      </c>
      <c r="J18" s="66"/>
      <c r="K18" s="66"/>
      <c r="L18" s="66"/>
      <c r="M18" s="66"/>
      <c r="N18" s="66"/>
      <c r="O18" s="66"/>
      <c r="P18" s="67"/>
      <c r="Q18" s="68"/>
      <c r="R18" s="68"/>
      <c r="S18" s="68"/>
      <c r="T18" s="68"/>
      <c r="U18" s="69"/>
    </row>
    <row r="19" spans="1:22" ht="63" x14ac:dyDescent="0.2">
      <c r="A19" s="101" t="s">
        <v>182</v>
      </c>
      <c r="B19" s="70"/>
      <c r="C19" s="71"/>
      <c r="D19" s="71"/>
      <c r="E19" s="71"/>
      <c r="F19" s="71"/>
      <c r="G19" s="71"/>
      <c r="H19" s="71"/>
      <c r="I19" s="72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4"/>
      <c r="U19" s="102"/>
    </row>
    <row r="20" spans="1:22" ht="31.5" x14ac:dyDescent="0.2">
      <c r="A20" s="103" t="s">
        <v>183</v>
      </c>
      <c r="B20" s="43" t="s">
        <v>34</v>
      </c>
      <c r="C20" s="59">
        <v>94.8</v>
      </c>
      <c r="D20" s="59">
        <v>89.1</v>
      </c>
      <c r="E20" s="59">
        <v>100</v>
      </c>
      <c r="F20" s="59">
        <v>115</v>
      </c>
      <c r="G20" s="59">
        <v>155</v>
      </c>
      <c r="H20" s="59">
        <v>166</v>
      </c>
      <c r="I20" s="42">
        <v>5814.27</v>
      </c>
      <c r="J20" s="60">
        <f>C20*I20/1000</f>
        <v>551.19279599999993</v>
      </c>
      <c r="K20" s="60">
        <f>D20*I20/1000</f>
        <v>518.05145700000003</v>
      </c>
      <c r="L20" s="60">
        <f>E20*I20/1000</f>
        <v>581.42700000000002</v>
      </c>
      <c r="M20" s="60">
        <f>F20*I20/1000</f>
        <v>668.64105000000006</v>
      </c>
      <c r="N20" s="60">
        <f>G20*I20/1000</f>
        <v>901.21185000000014</v>
      </c>
      <c r="O20" s="60">
        <f>H20*I20/1000</f>
        <v>965.1688200000001</v>
      </c>
      <c r="P20" s="61">
        <v>82.3</v>
      </c>
      <c r="Q20" s="61">
        <f>K20/J20*100</f>
        <v>93.987341772151908</v>
      </c>
      <c r="R20" s="61">
        <f>L20/K20*100</f>
        <v>112.2334455667789</v>
      </c>
      <c r="S20" s="61">
        <f>M20/L20*100</f>
        <v>115.00000000000001</v>
      </c>
      <c r="T20" s="61">
        <f>N20/M20*100</f>
        <v>134.78260869565219</v>
      </c>
      <c r="U20" s="98">
        <f>O20/N20*100</f>
        <v>107.09677419354837</v>
      </c>
    </row>
    <row r="21" spans="1:22" ht="31.5" x14ac:dyDescent="0.2">
      <c r="A21" s="103" t="s">
        <v>184</v>
      </c>
      <c r="B21" s="43" t="s">
        <v>34</v>
      </c>
      <c r="C21" s="59">
        <v>62.1</v>
      </c>
      <c r="D21" s="59">
        <v>31.9</v>
      </c>
      <c r="E21" s="59">
        <v>30</v>
      </c>
      <c r="F21" s="59">
        <v>35</v>
      </c>
      <c r="G21" s="59">
        <v>39</v>
      </c>
      <c r="H21" s="59">
        <v>43</v>
      </c>
      <c r="I21" s="42">
        <v>533.54999999999995</v>
      </c>
      <c r="J21" s="60">
        <f t="shared" ref="J21:J22" si="9">C21*I21/1000</f>
        <v>33.133454999999998</v>
      </c>
      <c r="K21" s="60">
        <f t="shared" ref="K21:K22" si="10">D21*I21/1000</f>
        <v>17.020244999999999</v>
      </c>
      <c r="L21" s="60">
        <f t="shared" ref="L21:L22" si="11">E21*I21/1000</f>
        <v>16.006499999999999</v>
      </c>
      <c r="M21" s="60">
        <f t="shared" ref="M21:M22" si="12">F21*I21/1000</f>
        <v>18.674250000000001</v>
      </c>
      <c r="N21" s="60">
        <f t="shared" ref="N21:N22" si="13">G21*I21/1000</f>
        <v>20.808449999999997</v>
      </c>
      <c r="O21" s="60">
        <f t="shared" ref="O21:O22" si="14">H21*I21/1000</f>
        <v>22.942649999999997</v>
      </c>
      <c r="P21" s="61">
        <v>79.599999999999994</v>
      </c>
      <c r="Q21" s="61">
        <f t="shared" ref="Q21:Q23" si="15">K21/J21*100</f>
        <v>51.368760064412243</v>
      </c>
      <c r="R21" s="61">
        <f t="shared" ref="R21:R23" si="16">L21/K21*100</f>
        <v>94.043887147335425</v>
      </c>
      <c r="S21" s="61">
        <f t="shared" ref="S21:S23" si="17">M21/L21*100</f>
        <v>116.66666666666667</v>
      </c>
      <c r="T21" s="61">
        <f t="shared" ref="T21:T23" si="18">N21/M21*100</f>
        <v>111.42857142857142</v>
      </c>
      <c r="U21" s="98">
        <f t="shared" ref="U21:U23" si="19">O21/N21*100</f>
        <v>110.25641025641026</v>
      </c>
    </row>
    <row r="22" spans="1:22" ht="47.25" x14ac:dyDescent="0.2">
      <c r="A22" s="103" t="s">
        <v>283</v>
      </c>
      <c r="B22" s="43" t="s">
        <v>35</v>
      </c>
      <c r="C22" s="59">
        <v>2033</v>
      </c>
      <c r="D22" s="59">
        <f>548+4000</f>
        <v>4548</v>
      </c>
      <c r="E22" s="59">
        <f>550+10000</f>
        <v>10550</v>
      </c>
      <c r="F22" s="59">
        <f>570+13000</f>
        <v>13570</v>
      </c>
      <c r="G22" s="59">
        <f>600+20000</f>
        <v>20600</v>
      </c>
      <c r="H22" s="59">
        <f>650+22000</f>
        <v>22650</v>
      </c>
      <c r="I22" s="42">
        <v>3.2</v>
      </c>
      <c r="J22" s="60">
        <f t="shared" si="9"/>
        <v>6.5056000000000003</v>
      </c>
      <c r="K22" s="60">
        <f t="shared" si="10"/>
        <v>14.553600000000001</v>
      </c>
      <c r="L22" s="60">
        <f t="shared" si="11"/>
        <v>33.76</v>
      </c>
      <c r="M22" s="60">
        <f t="shared" si="12"/>
        <v>43.423999999999999</v>
      </c>
      <c r="N22" s="60">
        <f t="shared" si="13"/>
        <v>65.92</v>
      </c>
      <c r="O22" s="60">
        <f t="shared" si="14"/>
        <v>72.48</v>
      </c>
      <c r="P22" s="61">
        <v>53</v>
      </c>
      <c r="Q22" s="61">
        <f t="shared" si="15"/>
        <v>223.7088047220856</v>
      </c>
      <c r="R22" s="61">
        <f t="shared" si="16"/>
        <v>231.9700967458223</v>
      </c>
      <c r="S22" s="61">
        <f t="shared" si="17"/>
        <v>128.62559241706163</v>
      </c>
      <c r="T22" s="61">
        <f t="shared" si="18"/>
        <v>151.8054532056006</v>
      </c>
      <c r="U22" s="98">
        <f t="shared" si="19"/>
        <v>109.95145631067962</v>
      </c>
    </row>
    <row r="23" spans="1:22" ht="15.75" x14ac:dyDescent="0.2">
      <c r="A23" s="45"/>
      <c r="B23" s="47" t="s">
        <v>53</v>
      </c>
      <c r="C23" s="54" t="s">
        <v>53</v>
      </c>
      <c r="D23" s="54" t="s">
        <v>53</v>
      </c>
      <c r="E23" s="54" t="s">
        <v>53</v>
      </c>
      <c r="F23" s="54" t="s">
        <v>53</v>
      </c>
      <c r="G23" s="54" t="s">
        <v>53</v>
      </c>
      <c r="H23" s="54"/>
      <c r="I23" s="47" t="s">
        <v>53</v>
      </c>
      <c r="J23" s="60">
        <f t="shared" ref="J23:O23" si="20">J14+J15+J16+J17+J20+J21+J22</f>
        <v>833.40645899999993</v>
      </c>
      <c r="K23" s="60">
        <f t="shared" si="20"/>
        <v>771.83158600000002</v>
      </c>
      <c r="L23" s="60">
        <f t="shared" si="20"/>
        <v>631.19349999999997</v>
      </c>
      <c r="M23" s="60">
        <f t="shared" si="20"/>
        <v>730.73930000000007</v>
      </c>
      <c r="N23" s="60">
        <f t="shared" si="20"/>
        <v>987.94030000000009</v>
      </c>
      <c r="O23" s="60">
        <f t="shared" si="20"/>
        <v>1060.5914700000001</v>
      </c>
      <c r="P23" s="75">
        <v>90.9</v>
      </c>
      <c r="Q23" s="61">
        <f t="shared" si="15"/>
        <v>92.611663572432207</v>
      </c>
      <c r="R23" s="61">
        <f t="shared" si="16"/>
        <v>81.778656309097968</v>
      </c>
      <c r="S23" s="61">
        <f t="shared" si="17"/>
        <v>115.77104326961543</v>
      </c>
      <c r="T23" s="61">
        <f t="shared" si="18"/>
        <v>135.19736792588</v>
      </c>
      <c r="U23" s="98">
        <f t="shared" si="19"/>
        <v>107.35380164165791</v>
      </c>
    </row>
    <row r="24" spans="1:22" ht="15.75" x14ac:dyDescent="0.2">
      <c r="A24" s="370" t="s">
        <v>185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2"/>
    </row>
    <row r="25" spans="1:22" ht="46.5" customHeight="1" x14ac:dyDescent="0.2">
      <c r="A25" s="116" t="s">
        <v>187</v>
      </c>
      <c r="B25" s="43" t="s">
        <v>52</v>
      </c>
      <c r="C25" s="59">
        <v>7.2210000000000001</v>
      </c>
      <c r="D25" s="59">
        <v>7</v>
      </c>
      <c r="E25" s="59">
        <v>7</v>
      </c>
      <c r="F25" s="59">
        <v>7</v>
      </c>
      <c r="G25" s="59">
        <v>7</v>
      </c>
      <c r="H25" s="59">
        <v>7</v>
      </c>
      <c r="I25" s="42">
        <v>282.60000000000002</v>
      </c>
      <c r="J25" s="60">
        <f>C25*I25/1000</f>
        <v>2.0406546000000003</v>
      </c>
      <c r="K25" s="60">
        <f>D25*I25/1000</f>
        <v>1.9782000000000002</v>
      </c>
      <c r="L25" s="60">
        <f>E25*I25/1000</f>
        <v>1.9782000000000002</v>
      </c>
      <c r="M25" s="60">
        <f>F25*I25/1000</f>
        <v>1.9782000000000002</v>
      </c>
      <c r="N25" s="60">
        <f>G25*I25/1000</f>
        <v>1.9782000000000002</v>
      </c>
      <c r="O25" s="60">
        <f>H25*I25/1000</f>
        <v>1.9782000000000002</v>
      </c>
      <c r="P25" s="76">
        <v>99.9</v>
      </c>
      <c r="Q25" s="61">
        <f>K25/J25*100</f>
        <v>96.939482066195808</v>
      </c>
      <c r="R25" s="61">
        <f>L25/K25*100</f>
        <v>100</v>
      </c>
      <c r="S25" s="61">
        <f>M25/L25*100</f>
        <v>100</v>
      </c>
      <c r="T25" s="61">
        <f>N25/M25*100</f>
        <v>100</v>
      </c>
      <c r="U25" s="98">
        <f>O25/N25*100</f>
        <v>100</v>
      </c>
    </row>
    <row r="26" spans="1:22" ht="39" customHeight="1" x14ac:dyDescent="0.2">
      <c r="A26" s="116" t="s">
        <v>188</v>
      </c>
      <c r="B26" s="43" t="s">
        <v>189</v>
      </c>
      <c r="C26" s="59">
        <v>215.34</v>
      </c>
      <c r="D26" s="59">
        <v>194.7</v>
      </c>
      <c r="E26" s="59">
        <v>194.6</v>
      </c>
      <c r="F26" s="59">
        <v>194.5</v>
      </c>
      <c r="G26" s="59">
        <v>194.3</v>
      </c>
      <c r="H26" s="59">
        <v>194.2</v>
      </c>
      <c r="I26" s="42">
        <v>945.2</v>
      </c>
      <c r="J26" s="60">
        <f>C26*I26/1000</f>
        <v>203.53936800000002</v>
      </c>
      <c r="K26" s="60">
        <f>D26*I26/1000</f>
        <v>184.03044</v>
      </c>
      <c r="L26" s="60">
        <f>E26*I26/1000</f>
        <v>183.93592000000001</v>
      </c>
      <c r="M26" s="60">
        <f>F26*I26/1000</f>
        <v>183.84140000000002</v>
      </c>
      <c r="N26" s="60">
        <f>G26*I26/1000</f>
        <v>183.65236000000002</v>
      </c>
      <c r="O26" s="60">
        <f>H26*I26/1000</f>
        <v>183.55784</v>
      </c>
      <c r="P26" s="61">
        <v>98.4</v>
      </c>
      <c r="Q26" s="61">
        <f t="shared" ref="Q26:Q27" si="21">K26/J26*100</f>
        <v>90.415157425466703</v>
      </c>
      <c r="R26" s="61">
        <f t="shared" ref="R26:R28" si="22">L26/K26*100</f>
        <v>99.948638931689786</v>
      </c>
      <c r="S26" s="61">
        <f t="shared" ref="S26:S28" si="23">M26/L26*100</f>
        <v>99.948612538540601</v>
      </c>
      <c r="T26" s="61">
        <f t="shared" ref="T26:T28" si="24">N26/M26*100</f>
        <v>99.897172236503849</v>
      </c>
      <c r="U26" s="98">
        <f t="shared" ref="U26:U28" si="25">O26/N26*100</f>
        <v>99.948533196088519</v>
      </c>
    </row>
    <row r="27" spans="1:22" ht="15.75" x14ac:dyDescent="0.2">
      <c r="A27" s="104" t="s">
        <v>36</v>
      </c>
      <c r="B27" s="77"/>
      <c r="C27" s="78"/>
      <c r="D27" s="78"/>
      <c r="E27" s="78"/>
      <c r="F27" s="78"/>
      <c r="G27" s="78"/>
      <c r="H27" s="78"/>
      <c r="I27" s="48"/>
      <c r="J27" s="79">
        <f>SUM(J25:J26)</f>
        <v>205.58002260000004</v>
      </c>
      <c r="K27" s="79">
        <f t="shared" ref="K27:O27" si="26">SUM(K25:K26)</f>
        <v>186.00863999999999</v>
      </c>
      <c r="L27" s="79">
        <f t="shared" si="26"/>
        <v>185.91412</v>
      </c>
      <c r="M27" s="79">
        <f t="shared" si="26"/>
        <v>185.81960000000001</v>
      </c>
      <c r="N27" s="79">
        <f t="shared" si="26"/>
        <v>185.63056</v>
      </c>
      <c r="O27" s="79">
        <f t="shared" si="26"/>
        <v>185.53603999999999</v>
      </c>
      <c r="P27" s="80">
        <v>98.4</v>
      </c>
      <c r="Q27" s="64">
        <f t="shared" si="21"/>
        <v>90.47992000755815</v>
      </c>
      <c r="R27" s="64">
        <f t="shared" si="22"/>
        <v>99.949185156130397</v>
      </c>
      <c r="S27" s="64">
        <f t="shared" si="23"/>
        <v>99.949159321519005</v>
      </c>
      <c r="T27" s="64">
        <f t="shared" si="24"/>
        <v>99.898266921250496</v>
      </c>
      <c r="U27" s="100">
        <f t="shared" si="25"/>
        <v>99.949081659830142</v>
      </c>
    </row>
    <row r="28" spans="1:22" ht="35.25" customHeight="1" x14ac:dyDescent="0.2">
      <c r="A28" s="45" t="s">
        <v>191</v>
      </c>
      <c r="B28" s="81" t="s">
        <v>53</v>
      </c>
      <c r="C28" s="82" t="s">
        <v>53</v>
      </c>
      <c r="D28" s="82" t="s">
        <v>53</v>
      </c>
      <c r="E28" s="82" t="s">
        <v>53</v>
      </c>
      <c r="F28" s="82"/>
      <c r="G28" s="82" t="s">
        <v>53</v>
      </c>
      <c r="H28" s="82"/>
      <c r="I28" s="81" t="s">
        <v>53</v>
      </c>
      <c r="J28" s="83">
        <f t="shared" ref="J28:O28" si="27">J18+J23+J27</f>
        <v>1038.9864815999999</v>
      </c>
      <c r="K28" s="83">
        <f t="shared" si="27"/>
        <v>957.84022600000003</v>
      </c>
      <c r="L28" s="83">
        <f t="shared" si="27"/>
        <v>817.10762</v>
      </c>
      <c r="M28" s="83">
        <f t="shared" si="27"/>
        <v>916.55890000000011</v>
      </c>
      <c r="N28" s="83">
        <f t="shared" si="27"/>
        <v>1173.57086</v>
      </c>
      <c r="O28" s="83">
        <f t="shared" si="27"/>
        <v>1246.12751</v>
      </c>
      <c r="P28" s="84">
        <v>92.2</v>
      </c>
      <c r="Q28" s="84">
        <f>K28/J28*100</f>
        <v>92.189864157323996</v>
      </c>
      <c r="R28" s="84">
        <f t="shared" si="22"/>
        <v>85.307298422023052</v>
      </c>
      <c r="S28" s="84">
        <f t="shared" si="23"/>
        <v>112.17113603713548</v>
      </c>
      <c r="T28" s="84">
        <f t="shared" si="24"/>
        <v>128.04096496144436</v>
      </c>
      <c r="U28" s="85">
        <f t="shared" si="25"/>
        <v>106.18255381698896</v>
      </c>
      <c r="V28" s="29"/>
    </row>
    <row r="29" spans="1:22" ht="15.75" x14ac:dyDescent="0.2">
      <c r="A29" s="373" t="s">
        <v>145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5"/>
    </row>
    <row r="30" spans="1:22" ht="31.5" x14ac:dyDescent="0.2">
      <c r="A30" s="105" t="s">
        <v>205</v>
      </c>
      <c r="B30" s="49" t="s">
        <v>190</v>
      </c>
      <c r="C30" s="62">
        <v>4064.3</v>
      </c>
      <c r="D30" s="62">
        <v>4070.9</v>
      </c>
      <c r="E30" s="62">
        <v>4100</v>
      </c>
      <c r="F30" s="62">
        <v>4100</v>
      </c>
      <c r="G30" s="62">
        <v>4100</v>
      </c>
      <c r="H30" s="62">
        <v>4100</v>
      </c>
      <c r="I30" s="44">
        <v>509.11</v>
      </c>
      <c r="J30" s="62">
        <f>C30*I30</f>
        <v>2069175.773</v>
      </c>
      <c r="K30" s="62">
        <f>D30*I30</f>
        <v>2072535.8990000002</v>
      </c>
      <c r="L30" s="62">
        <f>E30*I30</f>
        <v>2087351</v>
      </c>
      <c r="M30" s="62">
        <f>F30*I30</f>
        <v>2087351</v>
      </c>
      <c r="N30" s="62">
        <f>G30*I30</f>
        <v>2087351</v>
      </c>
      <c r="O30" s="62">
        <f>H30*I30</f>
        <v>2087351</v>
      </c>
      <c r="P30" s="64">
        <v>102.4</v>
      </c>
      <c r="Q30" s="64">
        <f t="shared" ref="Q30:U31" si="28">K30/J30*100</f>
        <v>100.16238958738283</v>
      </c>
      <c r="R30" s="64">
        <f t="shared" si="28"/>
        <v>100.71482964455033</v>
      </c>
      <c r="S30" s="64">
        <f t="shared" si="28"/>
        <v>100</v>
      </c>
      <c r="T30" s="64">
        <f t="shared" si="28"/>
        <v>100</v>
      </c>
      <c r="U30" s="100">
        <f t="shared" si="28"/>
        <v>100</v>
      </c>
    </row>
    <row r="31" spans="1:22" ht="15.75" x14ac:dyDescent="0.2">
      <c r="A31" s="50" t="s">
        <v>36</v>
      </c>
      <c r="B31" s="47" t="s">
        <v>53</v>
      </c>
      <c r="C31" s="54" t="s">
        <v>53</v>
      </c>
      <c r="D31" s="54" t="s">
        <v>53</v>
      </c>
      <c r="E31" s="54" t="s">
        <v>53</v>
      </c>
      <c r="F31" s="54"/>
      <c r="G31" s="54" t="s">
        <v>53</v>
      </c>
      <c r="H31" s="54"/>
      <c r="I31" s="47" t="s">
        <v>53</v>
      </c>
      <c r="J31" s="65">
        <f>J30</f>
        <v>2069175.773</v>
      </c>
      <c r="K31" s="65">
        <f t="shared" ref="K31:O31" si="29">K30</f>
        <v>2072535.8990000002</v>
      </c>
      <c r="L31" s="65">
        <f t="shared" si="29"/>
        <v>2087351</v>
      </c>
      <c r="M31" s="65">
        <f t="shared" si="29"/>
        <v>2087351</v>
      </c>
      <c r="N31" s="65">
        <f t="shared" si="29"/>
        <v>2087351</v>
      </c>
      <c r="O31" s="65">
        <f t="shared" si="29"/>
        <v>2087351</v>
      </c>
      <c r="P31" s="67">
        <v>104.7</v>
      </c>
      <c r="Q31" s="68">
        <f t="shared" si="28"/>
        <v>100.16238958738283</v>
      </c>
      <c r="R31" s="68">
        <f t="shared" si="28"/>
        <v>100.71482964455033</v>
      </c>
      <c r="S31" s="68">
        <f t="shared" si="28"/>
        <v>100</v>
      </c>
      <c r="T31" s="68">
        <f t="shared" si="28"/>
        <v>100</v>
      </c>
      <c r="U31" s="69">
        <f t="shared" si="28"/>
        <v>100</v>
      </c>
    </row>
    <row r="32" spans="1:22" ht="15.75" x14ac:dyDescent="0.2">
      <c r="A32" s="376" t="s">
        <v>192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8"/>
    </row>
    <row r="33" spans="1:21" ht="15.75" x14ac:dyDescent="0.2">
      <c r="A33" s="106" t="s">
        <v>38</v>
      </c>
      <c r="B33" s="86" t="s">
        <v>35</v>
      </c>
      <c r="C33" s="71">
        <v>11663</v>
      </c>
      <c r="D33" s="71">
        <v>12067.7</v>
      </c>
      <c r="E33" s="71">
        <v>12067.7</v>
      </c>
      <c r="F33" s="71">
        <v>12000</v>
      </c>
      <c r="G33" s="71">
        <v>12050</v>
      </c>
      <c r="H33" s="71">
        <v>12100</v>
      </c>
      <c r="I33" s="51">
        <v>109.5</v>
      </c>
      <c r="J33" s="71">
        <f>C33*I33/1000</f>
        <v>1277.0985000000001</v>
      </c>
      <c r="K33" s="71">
        <f>D33*I33/1000</f>
        <v>1321.4131500000001</v>
      </c>
      <c r="L33" s="71">
        <f>E33*I33/1000</f>
        <v>1321.4131500000001</v>
      </c>
      <c r="M33" s="71">
        <f>F33*I33/1000</f>
        <v>1314</v>
      </c>
      <c r="N33" s="71">
        <f>G33*I33/1000</f>
        <v>1319.4749999999999</v>
      </c>
      <c r="O33" s="71">
        <f>H33*I33/1000</f>
        <v>1324.95</v>
      </c>
      <c r="P33" s="87">
        <v>80.099999999999994</v>
      </c>
      <c r="Q33" s="87">
        <f>K33/J33*100</f>
        <v>103.4699476978479</v>
      </c>
      <c r="R33" s="87">
        <f>L33/K33*100</f>
        <v>100</v>
      </c>
      <c r="S33" s="87">
        <f>M33/L33*100</f>
        <v>99.438998317823604</v>
      </c>
      <c r="T33" s="87">
        <f>N33/M33*100</f>
        <v>100.41666666666667</v>
      </c>
      <c r="U33" s="107">
        <f>O33/N33*100</f>
        <v>100.41493775933613</v>
      </c>
    </row>
    <row r="34" spans="1:21" ht="15.75" x14ac:dyDescent="0.2">
      <c r="A34" s="108" t="s">
        <v>39</v>
      </c>
      <c r="B34" s="43" t="s">
        <v>35</v>
      </c>
      <c r="C34" s="59">
        <v>77.400000000000006</v>
      </c>
      <c r="D34" s="59">
        <v>74.900000000000006</v>
      </c>
      <c r="E34" s="59">
        <v>74.900000000000006</v>
      </c>
      <c r="F34" s="59">
        <v>74.900000000000006</v>
      </c>
      <c r="G34" s="59">
        <v>74.900000000000006</v>
      </c>
      <c r="H34" s="59">
        <v>74.900000000000006</v>
      </c>
      <c r="I34" s="42">
        <v>315.2</v>
      </c>
      <c r="J34" s="71">
        <f t="shared" ref="J34:J38" si="30">C34*I34/1000</f>
        <v>24.39648</v>
      </c>
      <c r="K34" s="71">
        <f t="shared" ref="K34:K38" si="31">D34*I34/1000</f>
        <v>23.60848</v>
      </c>
      <c r="L34" s="71">
        <f t="shared" ref="L34:L38" si="32">E34*I34/1000</f>
        <v>23.60848</v>
      </c>
      <c r="M34" s="71">
        <f t="shared" ref="M34:M38" si="33">F34*I34/1000</f>
        <v>23.60848</v>
      </c>
      <c r="N34" s="71">
        <f t="shared" ref="N34:N38" si="34">G34*I34/1000</f>
        <v>23.60848</v>
      </c>
      <c r="O34" s="71">
        <f t="shared" ref="O34:O38" si="35">H34*I34/1000</f>
        <v>23.60848</v>
      </c>
      <c r="P34" s="87">
        <v>90</v>
      </c>
      <c r="Q34" s="87">
        <f t="shared" ref="Q34:Q39" si="36">K34/J34*100</f>
        <v>96.770025839793277</v>
      </c>
      <c r="R34" s="87">
        <f t="shared" ref="R34:R39" si="37">L34/K34*100</f>
        <v>100</v>
      </c>
      <c r="S34" s="87">
        <f t="shared" ref="S34:S39" si="38">M34/L34*100</f>
        <v>100</v>
      </c>
      <c r="T34" s="87">
        <f t="shared" ref="T34:T39" si="39">N34/M34*100</f>
        <v>100</v>
      </c>
      <c r="U34" s="107">
        <f t="shared" ref="U34:U39" si="40">O34/N34*100</f>
        <v>100</v>
      </c>
    </row>
    <row r="35" spans="1:21" ht="15.75" x14ac:dyDescent="0.2">
      <c r="A35" s="109" t="s">
        <v>40</v>
      </c>
      <c r="B35" s="43" t="s">
        <v>35</v>
      </c>
      <c r="C35" s="59">
        <v>3</v>
      </c>
      <c r="D35" s="59">
        <v>13.3</v>
      </c>
      <c r="E35" s="59">
        <v>3</v>
      </c>
      <c r="F35" s="59">
        <v>3</v>
      </c>
      <c r="G35" s="59">
        <v>3</v>
      </c>
      <c r="H35" s="59">
        <v>3</v>
      </c>
      <c r="I35" s="42">
        <v>444</v>
      </c>
      <c r="J35" s="71">
        <f t="shared" si="30"/>
        <v>1.3320000000000001</v>
      </c>
      <c r="K35" s="71">
        <f t="shared" si="31"/>
        <v>5.9052000000000007</v>
      </c>
      <c r="L35" s="71">
        <f t="shared" si="32"/>
        <v>1.3320000000000001</v>
      </c>
      <c r="M35" s="71">
        <f t="shared" si="33"/>
        <v>1.3320000000000001</v>
      </c>
      <c r="N35" s="71">
        <f t="shared" si="34"/>
        <v>1.3320000000000001</v>
      </c>
      <c r="O35" s="71">
        <f t="shared" si="35"/>
        <v>1.3320000000000001</v>
      </c>
      <c r="P35" s="87">
        <v>76.900000000000006</v>
      </c>
      <c r="Q35" s="87">
        <f t="shared" si="36"/>
        <v>443.33333333333337</v>
      </c>
      <c r="R35" s="87">
        <f t="shared" si="37"/>
        <v>22.556390977443609</v>
      </c>
      <c r="S35" s="87">
        <f t="shared" si="38"/>
        <v>100</v>
      </c>
      <c r="T35" s="87">
        <f t="shared" si="39"/>
        <v>100</v>
      </c>
      <c r="U35" s="107">
        <f t="shared" si="40"/>
        <v>100</v>
      </c>
    </row>
    <row r="36" spans="1:21" ht="15.75" x14ac:dyDescent="0.2">
      <c r="A36" s="109" t="s">
        <v>41</v>
      </c>
      <c r="B36" s="43" t="s">
        <v>35</v>
      </c>
      <c r="C36" s="59">
        <v>3761</v>
      </c>
      <c r="D36" s="59">
        <v>3631</v>
      </c>
      <c r="E36" s="59">
        <v>3631</v>
      </c>
      <c r="F36" s="59">
        <v>3631</v>
      </c>
      <c r="G36" s="59">
        <v>3631</v>
      </c>
      <c r="H36" s="59">
        <v>3631</v>
      </c>
      <c r="I36" s="42">
        <v>1500</v>
      </c>
      <c r="J36" s="71">
        <f t="shared" si="30"/>
        <v>5641.5</v>
      </c>
      <c r="K36" s="71">
        <f t="shared" si="31"/>
        <v>5446.5</v>
      </c>
      <c r="L36" s="71">
        <f t="shared" si="32"/>
        <v>5446.5</v>
      </c>
      <c r="M36" s="71">
        <f t="shared" si="33"/>
        <v>5446.5</v>
      </c>
      <c r="N36" s="71">
        <f t="shared" si="34"/>
        <v>5446.5</v>
      </c>
      <c r="O36" s="71">
        <f t="shared" si="35"/>
        <v>5446.5</v>
      </c>
      <c r="P36" s="87">
        <v>123.7</v>
      </c>
      <c r="Q36" s="87">
        <f t="shared" si="36"/>
        <v>96.54347248072321</v>
      </c>
      <c r="R36" s="87">
        <f t="shared" si="37"/>
        <v>100</v>
      </c>
      <c r="S36" s="87">
        <f t="shared" si="38"/>
        <v>100</v>
      </c>
      <c r="T36" s="87">
        <f t="shared" si="39"/>
        <v>100</v>
      </c>
      <c r="U36" s="107">
        <f t="shared" si="40"/>
        <v>100</v>
      </c>
    </row>
    <row r="37" spans="1:21" ht="15.75" x14ac:dyDescent="0.2">
      <c r="A37" s="109" t="s">
        <v>42</v>
      </c>
      <c r="B37" s="43" t="s">
        <v>35</v>
      </c>
      <c r="C37" s="59">
        <v>2031</v>
      </c>
      <c r="D37" s="59">
        <v>2179</v>
      </c>
      <c r="E37" s="59">
        <v>2179</v>
      </c>
      <c r="F37" s="59">
        <v>2179</v>
      </c>
      <c r="G37" s="59">
        <v>2179</v>
      </c>
      <c r="H37" s="59">
        <v>2179</v>
      </c>
      <c r="I37" s="42">
        <v>296.3</v>
      </c>
      <c r="J37" s="71">
        <f t="shared" si="30"/>
        <v>601.78530000000001</v>
      </c>
      <c r="K37" s="71">
        <f t="shared" si="31"/>
        <v>645.63770000000011</v>
      </c>
      <c r="L37" s="71">
        <f t="shared" si="32"/>
        <v>645.63770000000011</v>
      </c>
      <c r="M37" s="71">
        <f t="shared" si="33"/>
        <v>645.63770000000011</v>
      </c>
      <c r="N37" s="71">
        <f t="shared" si="34"/>
        <v>645.63770000000011</v>
      </c>
      <c r="O37" s="71">
        <f t="shared" si="35"/>
        <v>645.63770000000011</v>
      </c>
      <c r="P37" s="87">
        <v>98.2</v>
      </c>
      <c r="Q37" s="87">
        <f t="shared" si="36"/>
        <v>107.28705071393404</v>
      </c>
      <c r="R37" s="87">
        <f t="shared" si="37"/>
        <v>100</v>
      </c>
      <c r="S37" s="87">
        <f t="shared" si="38"/>
        <v>100</v>
      </c>
      <c r="T37" s="87">
        <f t="shared" si="39"/>
        <v>100</v>
      </c>
      <c r="U37" s="107">
        <f t="shared" si="40"/>
        <v>100</v>
      </c>
    </row>
    <row r="38" spans="1:21" ht="15.75" x14ac:dyDescent="0.2">
      <c r="A38" s="105" t="s">
        <v>43</v>
      </c>
      <c r="B38" s="49" t="s">
        <v>37</v>
      </c>
      <c r="C38" s="62">
        <v>4731</v>
      </c>
      <c r="D38" s="62">
        <v>4244</v>
      </c>
      <c r="E38" s="62">
        <v>4244</v>
      </c>
      <c r="F38" s="62">
        <v>4244</v>
      </c>
      <c r="G38" s="62">
        <v>4244</v>
      </c>
      <c r="H38" s="62">
        <v>4244</v>
      </c>
      <c r="I38" s="44">
        <v>90.8</v>
      </c>
      <c r="J38" s="78">
        <f t="shared" si="30"/>
        <v>429.57479999999998</v>
      </c>
      <c r="K38" s="78">
        <f t="shared" si="31"/>
        <v>385.35520000000002</v>
      </c>
      <c r="L38" s="78">
        <f t="shared" si="32"/>
        <v>385.35520000000002</v>
      </c>
      <c r="M38" s="78">
        <f t="shared" si="33"/>
        <v>385.35520000000002</v>
      </c>
      <c r="N38" s="78">
        <f t="shared" si="34"/>
        <v>385.35520000000002</v>
      </c>
      <c r="O38" s="78">
        <f t="shared" si="35"/>
        <v>385.35520000000002</v>
      </c>
      <c r="P38" s="88">
        <v>103.4</v>
      </c>
      <c r="Q38" s="88">
        <f t="shared" si="36"/>
        <v>89.706193193827957</v>
      </c>
      <c r="R38" s="88">
        <f t="shared" si="37"/>
        <v>100</v>
      </c>
      <c r="S38" s="88">
        <f t="shared" si="38"/>
        <v>100</v>
      </c>
      <c r="T38" s="88">
        <f t="shared" si="39"/>
        <v>100</v>
      </c>
      <c r="U38" s="110">
        <f t="shared" si="40"/>
        <v>100</v>
      </c>
    </row>
    <row r="39" spans="1:21" ht="15.75" x14ac:dyDescent="0.2">
      <c r="A39" s="50" t="s">
        <v>36</v>
      </c>
      <c r="B39" s="47" t="s">
        <v>53</v>
      </c>
      <c r="C39" s="54"/>
      <c r="D39" s="54"/>
      <c r="E39" s="54"/>
      <c r="F39" s="54"/>
      <c r="G39" s="54" t="s">
        <v>53</v>
      </c>
      <c r="H39" s="54"/>
      <c r="I39" s="47" t="s">
        <v>53</v>
      </c>
      <c r="J39" s="66">
        <f>SUM(J33:J38)</f>
        <v>7975.6870799999997</v>
      </c>
      <c r="K39" s="66">
        <f t="shared" ref="K39:O39" si="41">SUM(K33:K38)</f>
        <v>7828.4197300000005</v>
      </c>
      <c r="L39" s="66">
        <f t="shared" si="41"/>
        <v>7823.8465300000007</v>
      </c>
      <c r="M39" s="66">
        <f t="shared" si="41"/>
        <v>7816.4333800000004</v>
      </c>
      <c r="N39" s="66">
        <f t="shared" si="41"/>
        <v>7821.9083799999999</v>
      </c>
      <c r="O39" s="66">
        <f t="shared" si="41"/>
        <v>7827.3833800000002</v>
      </c>
      <c r="P39" s="89">
        <v>110.6</v>
      </c>
      <c r="Q39" s="90">
        <f t="shared" si="36"/>
        <v>98.153546540594732</v>
      </c>
      <c r="R39" s="90">
        <f t="shared" si="37"/>
        <v>99.941582079682391</v>
      </c>
      <c r="S39" s="90">
        <f t="shared" si="38"/>
        <v>99.905249291744482</v>
      </c>
      <c r="T39" s="90">
        <f t="shared" si="39"/>
        <v>100.07004473439265</v>
      </c>
      <c r="U39" s="91">
        <f t="shared" si="40"/>
        <v>100.06999570608626</v>
      </c>
    </row>
    <row r="40" spans="1:21" ht="19.5" customHeight="1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27"/>
    </row>
    <row r="41" spans="1:21" ht="20.25" x14ac:dyDescent="0.3">
      <c r="A41" s="15" t="s">
        <v>244</v>
      </c>
      <c r="B41" s="5"/>
      <c r="C41" s="5"/>
      <c r="D41" s="5"/>
      <c r="E41" s="5"/>
      <c r="F41" s="5"/>
      <c r="G41" s="5"/>
      <c r="H41" s="5"/>
      <c r="I41" s="5"/>
      <c r="J41" s="5"/>
      <c r="K41" s="5"/>
      <c r="M41" s="30"/>
      <c r="R41" s="5"/>
      <c r="S41" s="5"/>
      <c r="T41" s="5"/>
    </row>
    <row r="42" spans="1:21" ht="20.25" x14ac:dyDescent="0.3">
      <c r="A42" s="15" t="s">
        <v>245</v>
      </c>
      <c r="B42" s="5"/>
      <c r="C42" s="5"/>
      <c r="D42" s="5"/>
      <c r="E42" s="5"/>
      <c r="F42" s="5"/>
      <c r="G42" s="5"/>
      <c r="H42" s="5"/>
      <c r="I42" s="112"/>
      <c r="J42" s="112"/>
      <c r="K42" s="112"/>
      <c r="L42" s="30"/>
      <c r="R42" s="5"/>
      <c r="S42" s="5"/>
      <c r="T42" s="5"/>
    </row>
    <row r="43" spans="1:21" ht="20.25" x14ac:dyDescent="0.3">
      <c r="A43" s="15" t="s">
        <v>247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M43" s="30"/>
      <c r="N43" s="30"/>
      <c r="O43" s="30"/>
      <c r="P43" s="30"/>
      <c r="Q43" s="30"/>
      <c r="R43" s="5"/>
      <c r="S43" s="5"/>
      <c r="T43" s="5"/>
    </row>
    <row r="44" spans="1:21" ht="9.75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R44" s="5"/>
      <c r="S44" s="5"/>
      <c r="T44" s="5"/>
    </row>
    <row r="45" spans="1:21" ht="20.25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R45" s="5"/>
      <c r="S45" s="5"/>
      <c r="T45" s="5"/>
    </row>
    <row r="46" spans="1:21" ht="20.25" x14ac:dyDescent="0.3">
      <c r="A46" s="4" t="s">
        <v>246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R46" s="5"/>
      <c r="S46" s="5"/>
      <c r="T46" s="5"/>
    </row>
    <row r="47" spans="1:21" ht="20.25" x14ac:dyDescent="0.3">
      <c r="A47" s="4"/>
      <c r="B47" s="15"/>
      <c r="C47" s="4"/>
      <c r="D47" s="4"/>
      <c r="E47" s="4"/>
      <c r="F47" s="4"/>
      <c r="G47" s="4"/>
      <c r="H47" s="4"/>
      <c r="I47" s="1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1" x14ac:dyDescent="0.2">
      <c r="A48" s="6"/>
      <c r="B48" s="16"/>
      <c r="C48" s="6"/>
      <c r="D48" s="6"/>
      <c r="E48" s="6"/>
      <c r="F48" s="6"/>
      <c r="G48" s="6"/>
      <c r="H48" s="6"/>
      <c r="I48" s="19"/>
    </row>
    <row r="49" spans="1:9" x14ac:dyDescent="0.2">
      <c r="A49" s="6"/>
      <c r="B49" s="16"/>
      <c r="C49" s="6"/>
      <c r="D49" s="6"/>
      <c r="E49" s="6"/>
      <c r="F49" s="6"/>
      <c r="G49" s="6"/>
      <c r="H49" s="6"/>
      <c r="I49" s="19"/>
    </row>
    <row r="50" spans="1:9" x14ac:dyDescent="0.2">
      <c r="A50" s="6"/>
      <c r="B50" s="16"/>
      <c r="C50" s="6"/>
      <c r="D50" s="6"/>
      <c r="E50" s="6"/>
      <c r="F50" s="6"/>
      <c r="G50" s="6"/>
      <c r="H50" s="6"/>
      <c r="I50" s="19"/>
    </row>
    <row r="51" spans="1:9" x14ac:dyDescent="0.2">
      <c r="A51" s="6"/>
      <c r="B51" s="16"/>
      <c r="C51" s="6"/>
      <c r="D51" s="6"/>
      <c r="E51" s="6"/>
      <c r="F51" s="6"/>
      <c r="G51" s="6"/>
      <c r="H51" s="6"/>
      <c r="I51" s="19"/>
    </row>
    <row r="52" spans="1:9" x14ac:dyDescent="0.2">
      <c r="A52" s="6"/>
      <c r="B52" s="16"/>
      <c r="C52" s="6"/>
      <c r="D52" s="6"/>
      <c r="E52" s="6"/>
      <c r="F52" s="6"/>
      <c r="G52" s="6"/>
      <c r="H52" s="6"/>
      <c r="I52" s="19"/>
    </row>
    <row r="53" spans="1:9" x14ac:dyDescent="0.2">
      <c r="A53" s="6"/>
      <c r="B53" s="16"/>
      <c r="C53" s="6"/>
      <c r="D53" s="6"/>
      <c r="E53" s="6"/>
      <c r="F53" s="6"/>
      <c r="G53" s="6"/>
      <c r="H53" s="6"/>
      <c r="I53" s="19"/>
    </row>
    <row r="54" spans="1:9" x14ac:dyDescent="0.2">
      <c r="A54" s="6"/>
      <c r="B54" s="16"/>
      <c r="C54" s="6"/>
      <c r="D54" s="6"/>
      <c r="E54" s="6"/>
      <c r="F54" s="6"/>
      <c r="G54" s="6"/>
      <c r="H54" s="6"/>
      <c r="I54" s="19"/>
    </row>
  </sheetData>
  <mergeCells count="16">
    <mergeCell ref="A6:S6"/>
    <mergeCell ref="N1:U1"/>
    <mergeCell ref="A2:S2"/>
    <mergeCell ref="A3:S3"/>
    <mergeCell ref="N4:U4"/>
    <mergeCell ref="A5:S5"/>
    <mergeCell ref="A11:U11"/>
    <mergeCell ref="A24:U24"/>
    <mergeCell ref="A29:U29"/>
    <mergeCell ref="A32:U32"/>
    <mergeCell ref="A12:U12"/>
    <mergeCell ref="A8:A9"/>
    <mergeCell ref="B8:H8"/>
    <mergeCell ref="I8:I9"/>
    <mergeCell ref="J8:O8"/>
    <mergeCell ref="P8:U8"/>
  </mergeCells>
  <phoneticPr fontId="11" type="noConversion"/>
  <printOptions horizontalCentered="1"/>
  <pageMargins left="0" right="0" top="1.1811023622047245" bottom="0.19685039370078741" header="0" footer="0"/>
  <pageSetup paperSize="9" scale="45" fitToWidth="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BC79"/>
  <sheetViews>
    <sheetView topLeftCell="A4" zoomScale="73" zoomScaleNormal="73" zoomScaleSheetLayoutView="40" workbookViewId="0">
      <pane xSplit="1" ySplit="6" topLeftCell="B24" activePane="bottomRight" state="frozen"/>
      <selection activeCell="A4" sqref="A4"/>
      <selection pane="topRight" activeCell="B4" sqref="B4"/>
      <selection pane="bottomLeft" activeCell="A8" sqref="A8"/>
      <selection pane="bottomRight" activeCell="AQ65" sqref="AQ65"/>
    </sheetView>
  </sheetViews>
  <sheetFormatPr defaultRowHeight="12.75" x14ac:dyDescent="0.2"/>
  <cols>
    <col min="1" max="1" width="20.140625" customWidth="1"/>
    <col min="2" max="2" width="12" customWidth="1"/>
    <col min="3" max="3" width="12.85546875" customWidth="1"/>
    <col min="4" max="4" width="11.7109375" customWidth="1"/>
    <col min="5" max="5" width="12" customWidth="1"/>
    <col min="6" max="6" width="11.5703125" customWidth="1"/>
    <col min="7" max="7" width="12.140625" customWidth="1"/>
    <col min="8" max="8" width="10.42578125" customWidth="1"/>
    <col min="9" max="9" width="10.7109375" customWidth="1"/>
    <col min="10" max="10" width="10.5703125" customWidth="1"/>
    <col min="11" max="11" width="10" customWidth="1"/>
    <col min="12" max="12" width="10.5703125" customWidth="1"/>
    <col min="13" max="13" width="10.42578125" customWidth="1"/>
    <col min="14" max="15" width="11.85546875" customWidth="1"/>
    <col min="16" max="16" width="12.5703125" customWidth="1"/>
    <col min="17" max="17" width="12.28515625" customWidth="1"/>
    <col min="18" max="18" width="11.85546875" customWidth="1"/>
    <col min="19" max="19" width="12.42578125" customWidth="1"/>
    <col min="20" max="20" width="10.140625" customWidth="1"/>
    <col min="21" max="21" width="10.28515625" customWidth="1"/>
    <col min="22" max="22" width="15.28515625" customWidth="1"/>
    <col min="23" max="23" width="15.5703125" customWidth="1"/>
    <col min="24" max="24" width="13.85546875" customWidth="1"/>
    <col min="25" max="25" width="9.5703125" customWidth="1"/>
    <col min="26" max="26" width="10" customWidth="1"/>
    <col min="27" max="27" width="9.85546875" customWidth="1"/>
    <col min="28" max="28" width="11.5703125" customWidth="1"/>
    <col min="29" max="29" width="10" customWidth="1"/>
    <col min="30" max="30" width="10.71093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1.85546875" customWidth="1"/>
    <col min="39" max="39" width="11.5703125" customWidth="1"/>
    <col min="40" max="40" width="13.85546875" customWidth="1"/>
    <col min="41" max="41" width="13" customWidth="1"/>
    <col min="42" max="42" width="12" customWidth="1"/>
    <col min="43" max="43" width="13.28515625" customWidth="1"/>
    <col min="44" max="44" width="13.7109375" customWidth="1"/>
  </cols>
  <sheetData>
    <row r="1" spans="1:55" ht="21" customHeight="1" x14ac:dyDescent="0.3">
      <c r="A1" s="10"/>
      <c r="B1" s="10"/>
      <c r="C1" s="10"/>
      <c r="D1" s="10"/>
      <c r="E1" s="398"/>
      <c r="F1" s="398"/>
      <c r="G1" s="398"/>
      <c r="W1" s="111" t="s">
        <v>243</v>
      </c>
    </row>
    <row r="2" spans="1:55" ht="28.5" customHeight="1" x14ac:dyDescent="0.2">
      <c r="A2" s="399" t="s">
        <v>204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2"/>
      <c r="AM2" s="22"/>
      <c r="AN2" s="22"/>
      <c r="AO2" s="22"/>
      <c r="AP2" s="22"/>
      <c r="AQ2" s="22"/>
    </row>
    <row r="3" spans="1:55" ht="18.75" x14ac:dyDescent="0.3">
      <c r="A3" s="10"/>
      <c r="B3" s="10"/>
      <c r="C3" s="10"/>
      <c r="D3" s="10"/>
      <c r="E3" s="10"/>
      <c r="F3" s="10"/>
      <c r="G3" s="10"/>
      <c r="AK3" s="22"/>
      <c r="AL3" s="21"/>
      <c r="AM3" s="21"/>
      <c r="AN3" s="21"/>
      <c r="AO3" s="21"/>
      <c r="AP3" s="21"/>
      <c r="AQ3" s="21"/>
    </row>
    <row r="4" spans="1:55" ht="18.75" x14ac:dyDescent="0.3">
      <c r="A4" s="10"/>
      <c r="B4" s="10"/>
      <c r="C4" s="10"/>
      <c r="D4" s="10"/>
      <c r="E4" s="10"/>
      <c r="F4" s="10"/>
      <c r="G4" s="10"/>
      <c r="R4" s="342"/>
      <c r="S4" s="342"/>
      <c r="AK4" s="22"/>
      <c r="AL4" s="21"/>
      <c r="AM4" s="21"/>
      <c r="AN4" s="21"/>
      <c r="AO4" s="21"/>
      <c r="AP4" s="21"/>
    </row>
    <row r="5" spans="1:55" ht="18.75" x14ac:dyDescent="0.3">
      <c r="A5" s="10"/>
      <c r="B5" s="10"/>
      <c r="C5" s="10"/>
      <c r="D5" s="10"/>
      <c r="E5" s="10"/>
      <c r="F5" s="10"/>
      <c r="G5" s="10"/>
      <c r="S5" s="342"/>
      <c r="T5" s="342"/>
      <c r="AK5" s="22"/>
      <c r="AL5" s="21"/>
      <c r="AM5" s="21"/>
      <c r="AN5" s="21"/>
      <c r="AO5" s="21"/>
      <c r="AP5" s="21"/>
      <c r="AQ5" s="342"/>
      <c r="AR5" s="342"/>
    </row>
    <row r="6" spans="1:55" ht="58.15" customHeight="1" x14ac:dyDescent="0.2">
      <c r="A6" s="362" t="s">
        <v>101</v>
      </c>
      <c r="B6" s="392" t="s">
        <v>104</v>
      </c>
      <c r="C6" s="393"/>
      <c r="D6" s="393"/>
      <c r="E6" s="393"/>
      <c r="F6" s="393"/>
      <c r="G6" s="390"/>
      <c r="H6" s="392" t="s">
        <v>102</v>
      </c>
      <c r="I6" s="393"/>
      <c r="J6" s="393"/>
      <c r="K6" s="393"/>
      <c r="L6" s="393"/>
      <c r="M6" s="390"/>
      <c r="N6" s="392" t="s">
        <v>103</v>
      </c>
      <c r="O6" s="393"/>
      <c r="P6" s="393"/>
      <c r="Q6" s="393"/>
      <c r="R6" s="393"/>
      <c r="S6" s="390"/>
      <c r="T6" s="392" t="s">
        <v>117</v>
      </c>
      <c r="U6" s="390"/>
      <c r="V6" s="393" t="s">
        <v>287</v>
      </c>
      <c r="W6" s="393"/>
      <c r="X6" s="387" t="s">
        <v>126</v>
      </c>
      <c r="Y6" s="363" t="s">
        <v>127</v>
      </c>
      <c r="Z6" s="364"/>
      <c r="AA6" s="364"/>
      <c r="AB6" s="364"/>
      <c r="AC6" s="364"/>
      <c r="AD6" s="364"/>
      <c r="AE6" s="365"/>
      <c r="AF6" s="362" t="s">
        <v>118</v>
      </c>
      <c r="AG6" s="362"/>
      <c r="AH6" s="362"/>
      <c r="AI6" s="362"/>
      <c r="AJ6" s="362"/>
      <c r="AK6" s="362"/>
      <c r="AL6" s="362" t="s">
        <v>128</v>
      </c>
      <c r="AM6" s="363" t="s">
        <v>127</v>
      </c>
      <c r="AN6" s="364"/>
      <c r="AO6" s="364"/>
      <c r="AP6" s="364"/>
      <c r="AQ6" s="364"/>
      <c r="AR6" s="365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ht="196.5" customHeight="1" x14ac:dyDescent="0.2">
      <c r="A7" s="362"/>
      <c r="B7" s="394"/>
      <c r="C7" s="395"/>
      <c r="D7" s="395"/>
      <c r="E7" s="395"/>
      <c r="F7" s="395"/>
      <c r="G7" s="391"/>
      <c r="H7" s="394"/>
      <c r="I7" s="395"/>
      <c r="J7" s="395"/>
      <c r="K7" s="395"/>
      <c r="L7" s="395"/>
      <c r="M7" s="391"/>
      <c r="N7" s="394"/>
      <c r="O7" s="395"/>
      <c r="P7" s="395"/>
      <c r="Q7" s="395"/>
      <c r="R7" s="395"/>
      <c r="S7" s="391"/>
      <c r="T7" s="394"/>
      <c r="U7" s="391"/>
      <c r="V7" s="395"/>
      <c r="W7" s="395"/>
      <c r="X7" s="388"/>
      <c r="Y7" s="362" t="s">
        <v>138</v>
      </c>
      <c r="Z7" s="362" t="s">
        <v>137</v>
      </c>
      <c r="AA7" s="362" t="s">
        <v>139</v>
      </c>
      <c r="AB7" s="362" t="s">
        <v>140</v>
      </c>
      <c r="AC7" s="362" t="s">
        <v>21</v>
      </c>
      <c r="AD7" s="362" t="s">
        <v>47</v>
      </c>
      <c r="AE7" s="362" t="s">
        <v>51</v>
      </c>
      <c r="AF7" s="363" t="s">
        <v>106</v>
      </c>
      <c r="AG7" s="365"/>
      <c r="AH7" s="363" t="s">
        <v>107</v>
      </c>
      <c r="AI7" s="365"/>
      <c r="AJ7" s="363" t="s">
        <v>108</v>
      </c>
      <c r="AK7" s="365"/>
      <c r="AL7" s="362"/>
      <c r="AM7" s="362" t="s">
        <v>130</v>
      </c>
      <c r="AN7" s="362" t="s">
        <v>131</v>
      </c>
      <c r="AO7" s="362" t="s">
        <v>132</v>
      </c>
      <c r="AP7" s="362" t="s">
        <v>133</v>
      </c>
      <c r="AQ7" s="362" t="s">
        <v>134</v>
      </c>
      <c r="AR7" s="362" t="s">
        <v>242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39.75" customHeight="1" x14ac:dyDescent="0.2">
      <c r="A8" s="363"/>
      <c r="B8" s="362" t="s">
        <v>252</v>
      </c>
      <c r="C8" s="362" t="s">
        <v>265</v>
      </c>
      <c r="D8" s="362" t="s">
        <v>269</v>
      </c>
      <c r="E8" s="362" t="s">
        <v>63</v>
      </c>
      <c r="F8" s="362"/>
      <c r="G8" s="362"/>
      <c r="H8" s="362" t="s">
        <v>252</v>
      </c>
      <c r="I8" s="362" t="s">
        <v>265</v>
      </c>
      <c r="J8" s="362" t="s">
        <v>269</v>
      </c>
      <c r="K8" s="362" t="s">
        <v>63</v>
      </c>
      <c r="L8" s="362"/>
      <c r="M8" s="362"/>
      <c r="N8" s="362" t="s">
        <v>252</v>
      </c>
      <c r="O8" s="362" t="s">
        <v>265</v>
      </c>
      <c r="P8" s="362" t="s">
        <v>269</v>
      </c>
      <c r="Q8" s="362" t="s">
        <v>63</v>
      </c>
      <c r="R8" s="362"/>
      <c r="S8" s="362"/>
      <c r="T8" s="387" t="s">
        <v>265</v>
      </c>
      <c r="U8" s="387" t="s">
        <v>269</v>
      </c>
      <c r="V8" s="390" t="s">
        <v>135</v>
      </c>
      <c r="W8" s="392" t="s">
        <v>136</v>
      </c>
      <c r="X8" s="388"/>
      <c r="Y8" s="362"/>
      <c r="Z8" s="362"/>
      <c r="AA8" s="362"/>
      <c r="AB8" s="362"/>
      <c r="AC8" s="362"/>
      <c r="AD8" s="362"/>
      <c r="AE8" s="362"/>
      <c r="AF8" s="387" t="s">
        <v>265</v>
      </c>
      <c r="AG8" s="387" t="s">
        <v>269</v>
      </c>
      <c r="AH8" s="390" t="s">
        <v>265</v>
      </c>
      <c r="AI8" s="387" t="s">
        <v>269</v>
      </c>
      <c r="AJ8" s="390" t="s">
        <v>265</v>
      </c>
      <c r="AK8" s="387" t="s">
        <v>269</v>
      </c>
      <c r="AL8" s="362"/>
      <c r="AM8" s="362"/>
      <c r="AN8" s="362"/>
      <c r="AO8" s="362"/>
      <c r="AP8" s="362"/>
      <c r="AQ8" s="362"/>
      <c r="AR8" s="362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ht="81.75" customHeight="1" x14ac:dyDescent="0.2">
      <c r="A9" s="363"/>
      <c r="B9" s="387"/>
      <c r="C9" s="387"/>
      <c r="D9" s="387"/>
      <c r="E9" s="321" t="s">
        <v>196</v>
      </c>
      <c r="F9" s="321" t="s">
        <v>253</v>
      </c>
      <c r="G9" s="321" t="s">
        <v>267</v>
      </c>
      <c r="H9" s="387"/>
      <c r="I9" s="387"/>
      <c r="J9" s="387"/>
      <c r="K9" s="321" t="s">
        <v>196</v>
      </c>
      <c r="L9" s="321" t="s">
        <v>253</v>
      </c>
      <c r="M9" s="321" t="s">
        <v>267</v>
      </c>
      <c r="N9" s="387"/>
      <c r="O9" s="387"/>
      <c r="P9" s="387"/>
      <c r="Q9" s="321" t="s">
        <v>196</v>
      </c>
      <c r="R9" s="321" t="s">
        <v>253</v>
      </c>
      <c r="S9" s="321" t="s">
        <v>267</v>
      </c>
      <c r="T9" s="388"/>
      <c r="U9" s="388"/>
      <c r="V9" s="396"/>
      <c r="W9" s="397"/>
      <c r="X9" s="389"/>
      <c r="Y9" s="362"/>
      <c r="Z9" s="362"/>
      <c r="AA9" s="362"/>
      <c r="AB9" s="362"/>
      <c r="AC9" s="362"/>
      <c r="AD9" s="362"/>
      <c r="AE9" s="362"/>
      <c r="AF9" s="389"/>
      <c r="AG9" s="389"/>
      <c r="AH9" s="391"/>
      <c r="AI9" s="389"/>
      <c r="AJ9" s="391"/>
      <c r="AK9" s="389"/>
      <c r="AL9" s="362"/>
      <c r="AM9" s="362"/>
      <c r="AN9" s="362"/>
      <c r="AO9" s="362"/>
      <c r="AP9" s="362"/>
      <c r="AQ9" s="362"/>
      <c r="AR9" s="362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15.75" x14ac:dyDescent="0.2">
      <c r="A10" s="327" t="s">
        <v>215</v>
      </c>
      <c r="B10" s="31">
        <v>9391.93</v>
      </c>
      <c r="C10" s="31">
        <f>10212412.9913231/1000</f>
        <v>10212.412991323101</v>
      </c>
      <c r="D10" s="31">
        <f>11033392.49493/1000</f>
        <v>11033.39249493</v>
      </c>
      <c r="E10" s="31">
        <f>11926444.9911296/1000</f>
        <v>11926.4449911296</v>
      </c>
      <c r="F10" s="31">
        <f>12368663.2061812/1000</f>
        <v>12368.6632061812</v>
      </c>
      <c r="G10" s="33">
        <f>12789416.943591/1000</f>
        <v>12789.416943591001</v>
      </c>
      <c r="H10" s="311">
        <v>4452.47</v>
      </c>
      <c r="I10" s="125">
        <v>4629.36985</v>
      </c>
      <c r="J10" s="125">
        <v>4821.9308799999999</v>
      </c>
      <c r="K10" s="125">
        <v>5013.1695499999996</v>
      </c>
      <c r="L10" s="125">
        <v>5222.3223600000001</v>
      </c>
      <c r="M10" s="180">
        <v>5428.8610500000004</v>
      </c>
      <c r="N10" s="329">
        <v>6900.9100000000008</v>
      </c>
      <c r="O10" s="125">
        <v>6898.81</v>
      </c>
      <c r="P10" s="124">
        <v>7089.58</v>
      </c>
      <c r="Q10" s="124">
        <v>7089.58</v>
      </c>
      <c r="R10" s="124">
        <v>7138.58</v>
      </c>
      <c r="S10" s="330">
        <v>7134.58</v>
      </c>
      <c r="T10" s="307">
        <v>681</v>
      </c>
      <c r="U10" s="310">
        <v>750</v>
      </c>
      <c r="V10" s="314">
        <v>0</v>
      </c>
      <c r="W10" s="309">
        <v>0</v>
      </c>
      <c r="X10" s="331">
        <f t="shared" ref="X10:X35" si="0">SUM(Y10:AE10)</f>
        <v>220</v>
      </c>
      <c r="Y10" s="332">
        <v>14</v>
      </c>
      <c r="Z10" s="322">
        <v>0</v>
      </c>
      <c r="AA10" s="322">
        <v>27</v>
      </c>
      <c r="AB10" s="323">
        <v>10</v>
      </c>
      <c r="AC10" s="323">
        <v>18</v>
      </c>
      <c r="AD10" s="323">
        <v>42</v>
      </c>
      <c r="AE10" s="324">
        <f>143-34</f>
        <v>109</v>
      </c>
      <c r="AF10" s="333">
        <v>287</v>
      </c>
      <c r="AG10" s="325">
        <v>296</v>
      </c>
      <c r="AH10" s="325">
        <v>7</v>
      </c>
      <c r="AI10" s="325">
        <v>7</v>
      </c>
      <c r="AJ10" s="325">
        <v>110</v>
      </c>
      <c r="AK10" s="334">
        <v>111</v>
      </c>
      <c r="AL10" s="315">
        <f>AM10+AN10+AO10+AP10+AQ10+AR10</f>
        <v>18</v>
      </c>
      <c r="AM10" s="315">
        <v>6</v>
      </c>
      <c r="AN10" s="315">
        <v>5</v>
      </c>
      <c r="AO10" s="315">
        <v>2</v>
      </c>
      <c r="AP10" s="315">
        <v>1</v>
      </c>
      <c r="AQ10" s="316">
        <v>4</v>
      </c>
      <c r="AR10" s="315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ht="15.75" x14ac:dyDescent="0.2">
      <c r="A11" s="327" t="s">
        <v>223</v>
      </c>
      <c r="B11" s="32">
        <v>54.05</v>
      </c>
      <c r="C11" s="32">
        <f>53253.8761054199/1000</f>
        <v>53.253876105419899</v>
      </c>
      <c r="D11" s="32">
        <f>55543.7927779529/1000</f>
        <v>55.543792777952895</v>
      </c>
      <c r="E11" s="32">
        <f>57765.5444890711/1000</f>
        <v>57.765544489071104</v>
      </c>
      <c r="F11" s="32">
        <f>60076.1662686339/1000</f>
        <v>60.076166268633898</v>
      </c>
      <c r="G11" s="34">
        <v>62.4792129193793</v>
      </c>
      <c r="H11" s="311">
        <v>71</v>
      </c>
      <c r="I11" s="125">
        <v>80.004059999999996</v>
      </c>
      <c r="J11" s="125">
        <v>82.240839999999992</v>
      </c>
      <c r="K11" s="125">
        <v>84.541660000000007</v>
      </c>
      <c r="L11" s="125">
        <v>87.987610000000004</v>
      </c>
      <c r="M11" s="180">
        <v>90.482969999999995</v>
      </c>
      <c r="N11" s="329">
        <v>240.7</v>
      </c>
      <c r="O11" s="125">
        <v>241.5</v>
      </c>
      <c r="P11" s="124">
        <v>239.1</v>
      </c>
      <c r="Q11" s="124">
        <v>239.1</v>
      </c>
      <c r="R11" s="124">
        <v>240.1</v>
      </c>
      <c r="S11" s="330">
        <v>239.1</v>
      </c>
      <c r="T11" s="307">
        <v>81</v>
      </c>
      <c r="U11" s="310">
        <v>65</v>
      </c>
      <c r="V11" s="314">
        <v>0</v>
      </c>
      <c r="W11" s="309">
        <v>0</v>
      </c>
      <c r="X11" s="331">
        <f t="shared" si="0"/>
        <v>14</v>
      </c>
      <c r="Y11" s="305">
        <v>2</v>
      </c>
      <c r="Z11" s="306">
        <v>3</v>
      </c>
      <c r="AA11" s="306">
        <v>0</v>
      </c>
      <c r="AB11" s="308">
        <v>1</v>
      </c>
      <c r="AC11" s="308">
        <v>1</v>
      </c>
      <c r="AD11" s="308">
        <v>1</v>
      </c>
      <c r="AE11" s="310">
        <v>6</v>
      </c>
      <c r="AF11" s="335">
        <v>16</v>
      </c>
      <c r="AG11" s="326">
        <v>16</v>
      </c>
      <c r="AH11" s="326">
        <v>3</v>
      </c>
      <c r="AI11" s="326">
        <v>3</v>
      </c>
      <c r="AJ11" s="326">
        <v>3</v>
      </c>
      <c r="AK11" s="336">
        <v>3</v>
      </c>
      <c r="AL11" s="315">
        <f t="shared" ref="AL11:AL35" si="1">AM11+AN11+AO11+AP11+AQ11+AR11</f>
        <v>4</v>
      </c>
      <c r="AM11" s="315">
        <v>1</v>
      </c>
      <c r="AN11" s="315">
        <v>2</v>
      </c>
      <c r="AO11" s="315"/>
      <c r="AP11" s="315"/>
      <c r="AQ11" s="316">
        <v>1</v>
      </c>
      <c r="AR11" s="315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5.75" x14ac:dyDescent="0.2">
      <c r="A12" s="327" t="s">
        <v>224</v>
      </c>
      <c r="B12" s="32">
        <v>35.130000000000003</v>
      </c>
      <c r="C12" s="32">
        <f>34335.3150973884/1000</f>
        <v>34.335315097388396</v>
      </c>
      <c r="D12" s="32">
        <f>35811.7336465761/1000</f>
        <v>35.811733646576101</v>
      </c>
      <c r="E12" s="32">
        <f>37244.2029924392/1000</f>
        <v>37.244202992439199</v>
      </c>
      <c r="F12" s="32">
        <f>38733.9711121367/1000</f>
        <v>38.7339711121367</v>
      </c>
      <c r="G12" s="34">
        <v>40.283329956622197</v>
      </c>
      <c r="H12" s="311">
        <v>21.547999999999998</v>
      </c>
      <c r="I12" s="125">
        <v>24.144459999999999</v>
      </c>
      <c r="J12" s="125">
        <v>26.341650000000001</v>
      </c>
      <c r="K12" s="125">
        <v>27.406950000000002</v>
      </c>
      <c r="L12" s="125">
        <v>28.51463</v>
      </c>
      <c r="M12" s="180">
        <v>29.667300000000001</v>
      </c>
      <c r="N12" s="329">
        <v>56.95</v>
      </c>
      <c r="O12" s="125">
        <v>57.15</v>
      </c>
      <c r="P12" s="124">
        <v>58.05</v>
      </c>
      <c r="Q12" s="124">
        <v>58.05</v>
      </c>
      <c r="R12" s="124">
        <v>58.05</v>
      </c>
      <c r="S12" s="330">
        <v>58.05</v>
      </c>
      <c r="T12" s="307">
        <v>79</v>
      </c>
      <c r="U12" s="310">
        <v>53</v>
      </c>
      <c r="V12" s="314">
        <v>0</v>
      </c>
      <c r="W12" s="309">
        <v>0</v>
      </c>
      <c r="X12" s="331">
        <f t="shared" si="0"/>
        <v>8</v>
      </c>
      <c r="Y12" s="305">
        <v>2</v>
      </c>
      <c r="Z12" s="306">
        <v>0</v>
      </c>
      <c r="AA12" s="306">
        <v>0</v>
      </c>
      <c r="AB12" s="308">
        <v>0</v>
      </c>
      <c r="AC12" s="308">
        <v>3</v>
      </c>
      <c r="AD12" s="308">
        <v>0</v>
      </c>
      <c r="AE12" s="310">
        <v>3</v>
      </c>
      <c r="AF12" s="335">
        <v>10</v>
      </c>
      <c r="AG12" s="326">
        <v>11</v>
      </c>
      <c r="AH12" s="326">
        <v>0</v>
      </c>
      <c r="AI12" s="326">
        <v>0</v>
      </c>
      <c r="AJ12" s="326">
        <v>2</v>
      </c>
      <c r="AK12" s="336">
        <v>2</v>
      </c>
      <c r="AL12" s="315">
        <f t="shared" si="1"/>
        <v>3</v>
      </c>
      <c r="AM12" s="315">
        <v>1</v>
      </c>
      <c r="AN12" s="315">
        <v>1</v>
      </c>
      <c r="AO12" s="315"/>
      <c r="AP12" s="315"/>
      <c r="AQ12" s="316">
        <v>1</v>
      </c>
      <c r="AR12" s="315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15.75" x14ac:dyDescent="0.2">
      <c r="A13" s="327" t="s">
        <v>225</v>
      </c>
      <c r="B13" s="32">
        <v>2.02</v>
      </c>
      <c r="C13" s="32">
        <f>1227.83333333333/1000</f>
        <v>1.22783333333333</v>
      </c>
      <c r="D13" s="32">
        <f>1280.63016666667/1000</f>
        <v>1.28063016666667</v>
      </c>
      <c r="E13" s="32">
        <f>1331.85537333333/1000</f>
        <v>1.3318553733333298</v>
      </c>
      <c r="F13" s="32">
        <f>1385.12958826667/1000</f>
        <v>1.3851295882666701</v>
      </c>
      <c r="G13" s="34">
        <v>1.44053477179733</v>
      </c>
      <c r="H13" s="311">
        <v>61.35</v>
      </c>
      <c r="I13" s="125">
        <v>66.69059</v>
      </c>
      <c r="J13" s="125">
        <v>69.782669999999996</v>
      </c>
      <c r="K13" s="125">
        <v>72.573970000000003</v>
      </c>
      <c r="L13" s="125">
        <v>75.476929999999996</v>
      </c>
      <c r="M13" s="180">
        <v>78.496009999999998</v>
      </c>
      <c r="N13" s="329">
        <v>120.25000000000001</v>
      </c>
      <c r="O13" s="125">
        <v>121</v>
      </c>
      <c r="P13" s="124">
        <v>121.4</v>
      </c>
      <c r="Q13" s="124">
        <v>121.4</v>
      </c>
      <c r="R13" s="124">
        <v>121.4</v>
      </c>
      <c r="S13" s="330">
        <v>121.4</v>
      </c>
      <c r="T13" s="307">
        <v>27</v>
      </c>
      <c r="U13" s="310">
        <v>22</v>
      </c>
      <c r="V13" s="314">
        <v>0</v>
      </c>
      <c r="W13" s="309">
        <v>0</v>
      </c>
      <c r="X13" s="331">
        <f t="shared" si="0"/>
        <v>12</v>
      </c>
      <c r="Y13" s="305">
        <v>0</v>
      </c>
      <c r="Z13" s="306">
        <v>3</v>
      </c>
      <c r="AA13" s="306">
        <v>1</v>
      </c>
      <c r="AB13" s="308">
        <v>0</v>
      </c>
      <c r="AC13" s="308">
        <v>4</v>
      </c>
      <c r="AD13" s="308">
        <v>0</v>
      </c>
      <c r="AE13" s="310">
        <v>4</v>
      </c>
      <c r="AF13" s="335">
        <v>11</v>
      </c>
      <c r="AG13" s="326">
        <v>13</v>
      </c>
      <c r="AH13" s="326">
        <v>0</v>
      </c>
      <c r="AI13" s="326">
        <v>0</v>
      </c>
      <c r="AJ13" s="326">
        <v>1</v>
      </c>
      <c r="AK13" s="336">
        <v>1</v>
      </c>
      <c r="AL13" s="315">
        <f t="shared" si="1"/>
        <v>3</v>
      </c>
      <c r="AM13" s="315">
        <v>0</v>
      </c>
      <c r="AN13" s="315">
        <v>2</v>
      </c>
      <c r="AO13" s="315"/>
      <c r="AP13" s="315"/>
      <c r="AQ13" s="316">
        <v>1</v>
      </c>
      <c r="AR13" s="315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15.75" x14ac:dyDescent="0.2">
      <c r="A14" s="327" t="s">
        <v>226</v>
      </c>
      <c r="B14" s="32">
        <v>3.44</v>
      </c>
      <c r="C14" s="32">
        <f>2646.72540893569/1000</f>
        <v>2.6467254089356902</v>
      </c>
      <c r="D14" s="32">
        <f>2760.53460151993/1000</f>
        <v>2.7605346015199301</v>
      </c>
      <c r="E14" s="32">
        <f>2870.95598558073/1000</f>
        <v>2.8709559855807303</v>
      </c>
      <c r="F14" s="32">
        <f>2985.79422500396/1000</f>
        <v>2.9857942250039602</v>
      </c>
      <c r="G14" s="34">
        <v>3.1052300000000002</v>
      </c>
      <c r="H14" s="311">
        <v>43.95</v>
      </c>
      <c r="I14" s="125">
        <v>50.260169999999995</v>
      </c>
      <c r="J14" s="125">
        <v>53.640239999999999</v>
      </c>
      <c r="K14" s="125">
        <v>55.81568</v>
      </c>
      <c r="L14" s="125">
        <v>58.080109999999998</v>
      </c>
      <c r="M14" s="180">
        <v>60.43676</v>
      </c>
      <c r="N14" s="329">
        <v>122.77</v>
      </c>
      <c r="O14" s="125">
        <v>120.37</v>
      </c>
      <c r="P14" s="124">
        <v>121.77</v>
      </c>
      <c r="Q14" s="124">
        <v>121.77</v>
      </c>
      <c r="R14" s="124">
        <v>121.77</v>
      </c>
      <c r="S14" s="330">
        <v>121.77</v>
      </c>
      <c r="T14" s="307">
        <v>75</v>
      </c>
      <c r="U14" s="310">
        <v>91</v>
      </c>
      <c r="V14" s="314">
        <v>0</v>
      </c>
      <c r="W14" s="309">
        <v>0</v>
      </c>
      <c r="X14" s="331">
        <f t="shared" si="0"/>
        <v>7</v>
      </c>
      <c r="Y14" s="305">
        <v>0</v>
      </c>
      <c r="Z14" s="306">
        <v>0</v>
      </c>
      <c r="AA14" s="306">
        <v>1</v>
      </c>
      <c r="AB14" s="308">
        <v>0</v>
      </c>
      <c r="AC14" s="308">
        <v>1</v>
      </c>
      <c r="AD14" s="308">
        <v>0</v>
      </c>
      <c r="AE14" s="310">
        <v>5</v>
      </c>
      <c r="AF14" s="335">
        <v>17</v>
      </c>
      <c r="AG14" s="326">
        <v>20</v>
      </c>
      <c r="AH14" s="326">
        <v>2</v>
      </c>
      <c r="AI14" s="326">
        <v>2</v>
      </c>
      <c r="AJ14" s="326">
        <v>2</v>
      </c>
      <c r="AK14" s="336">
        <v>2</v>
      </c>
      <c r="AL14" s="315">
        <f t="shared" si="1"/>
        <v>4</v>
      </c>
      <c r="AM14" s="315">
        <v>1</v>
      </c>
      <c r="AN14" s="315">
        <v>2</v>
      </c>
      <c r="AO14" s="315"/>
      <c r="AP14" s="315"/>
      <c r="AQ14" s="316">
        <v>1</v>
      </c>
      <c r="AR14" s="315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15.75" x14ac:dyDescent="0.2">
      <c r="A15" s="327" t="s">
        <v>227</v>
      </c>
      <c r="B15" s="32">
        <v>39.86</v>
      </c>
      <c r="C15" s="32">
        <f>39064.9553493963/1000</f>
        <v>39.0649553493963</v>
      </c>
      <c r="D15" s="32">
        <f>40744.7484294203/1000</f>
        <v>40.744748429420305</v>
      </c>
      <c r="E15" s="32">
        <f>42374.5383665971/1000</f>
        <v>42.3745383665971</v>
      </c>
      <c r="F15" s="32">
        <f>44069.519901261/1000</f>
        <v>44.069519901261003</v>
      </c>
      <c r="G15" s="34">
        <v>45.832300697311496</v>
      </c>
      <c r="H15" s="311">
        <v>68.44</v>
      </c>
      <c r="I15" s="125">
        <v>73.580839999999995</v>
      </c>
      <c r="J15" s="125">
        <v>77.757130000000004</v>
      </c>
      <c r="K15" s="125">
        <v>81.012860000000003</v>
      </c>
      <c r="L15" s="125">
        <v>84.404809999999998</v>
      </c>
      <c r="M15" s="180">
        <v>87.941039999999987</v>
      </c>
      <c r="N15" s="329">
        <v>172.66</v>
      </c>
      <c r="O15" s="125">
        <v>173.9</v>
      </c>
      <c r="P15" s="124">
        <v>173.2</v>
      </c>
      <c r="Q15" s="124">
        <v>173.2</v>
      </c>
      <c r="R15" s="124">
        <v>174.2</v>
      </c>
      <c r="S15" s="330">
        <v>173.2</v>
      </c>
      <c r="T15" s="307">
        <v>98</v>
      </c>
      <c r="U15" s="310">
        <v>75</v>
      </c>
      <c r="V15" s="314">
        <v>0</v>
      </c>
      <c r="W15" s="309">
        <v>0</v>
      </c>
      <c r="X15" s="331">
        <f t="shared" si="0"/>
        <v>10</v>
      </c>
      <c r="Y15" s="305">
        <v>1</v>
      </c>
      <c r="Z15" s="306">
        <v>0</v>
      </c>
      <c r="AA15" s="306">
        <v>0</v>
      </c>
      <c r="AB15" s="308">
        <v>1</v>
      </c>
      <c r="AC15" s="308">
        <v>4</v>
      </c>
      <c r="AD15" s="308">
        <v>0</v>
      </c>
      <c r="AE15" s="310">
        <v>4</v>
      </c>
      <c r="AF15" s="335">
        <v>17</v>
      </c>
      <c r="AG15" s="326">
        <v>14</v>
      </c>
      <c r="AH15" s="326">
        <v>0</v>
      </c>
      <c r="AI15" s="326">
        <v>0</v>
      </c>
      <c r="AJ15" s="326">
        <v>2</v>
      </c>
      <c r="AK15" s="336">
        <v>2</v>
      </c>
      <c r="AL15" s="315">
        <f t="shared" si="1"/>
        <v>3</v>
      </c>
      <c r="AM15" s="315">
        <v>1</v>
      </c>
      <c r="AN15" s="315">
        <v>1</v>
      </c>
      <c r="AO15" s="315"/>
      <c r="AP15" s="315"/>
      <c r="AQ15" s="316">
        <v>1</v>
      </c>
      <c r="AR15" s="315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55" ht="15.75" x14ac:dyDescent="0.2">
      <c r="A16" s="327" t="s">
        <v>228</v>
      </c>
      <c r="B16" s="32">
        <v>16.216000000000001</v>
      </c>
      <c r="C16" s="32">
        <f>15416.7540893569/1000</f>
        <v>15.4167540893569</v>
      </c>
      <c r="D16" s="32">
        <f>16079.6745151993/1000</f>
        <v>16.079674515199301</v>
      </c>
      <c r="E16" s="32">
        <f>16722.8614958073/1000</f>
        <v>16.722861495807301</v>
      </c>
      <c r="F16" s="32">
        <f>17391.7759556395/1000</f>
        <v>17.391775955639499</v>
      </c>
      <c r="G16" s="34">
        <v>18.087446993865097</v>
      </c>
      <c r="H16" s="311">
        <v>30.65</v>
      </c>
      <c r="I16" s="125">
        <v>34.357230000000001</v>
      </c>
      <c r="J16" s="125">
        <v>35.338370000000005</v>
      </c>
      <c r="K16" s="125">
        <v>36.795099999999998</v>
      </c>
      <c r="L16" s="125">
        <v>38.312470000000005</v>
      </c>
      <c r="M16" s="180">
        <v>39.892449999999997</v>
      </c>
      <c r="N16" s="329">
        <v>89.1</v>
      </c>
      <c r="O16" s="125">
        <v>89.3</v>
      </c>
      <c r="P16" s="124">
        <v>87.5</v>
      </c>
      <c r="Q16" s="124">
        <v>87.5</v>
      </c>
      <c r="R16" s="124">
        <v>87.5</v>
      </c>
      <c r="S16" s="330">
        <v>87.5</v>
      </c>
      <c r="T16" s="307">
        <v>58</v>
      </c>
      <c r="U16" s="310">
        <v>35</v>
      </c>
      <c r="V16" s="314">
        <v>0</v>
      </c>
      <c r="W16" s="309">
        <v>0</v>
      </c>
      <c r="X16" s="331">
        <f t="shared" si="0"/>
        <v>8</v>
      </c>
      <c r="Y16" s="305">
        <v>0</v>
      </c>
      <c r="Z16" s="306">
        <v>0</v>
      </c>
      <c r="AA16" s="306">
        <v>1</v>
      </c>
      <c r="AB16" s="308">
        <v>0</v>
      </c>
      <c r="AC16" s="308">
        <v>2</v>
      </c>
      <c r="AD16" s="308">
        <v>1</v>
      </c>
      <c r="AE16" s="310">
        <v>4</v>
      </c>
      <c r="AF16" s="335">
        <v>9</v>
      </c>
      <c r="AG16" s="326">
        <v>10</v>
      </c>
      <c r="AH16" s="326">
        <v>0</v>
      </c>
      <c r="AI16" s="326">
        <v>0</v>
      </c>
      <c r="AJ16" s="326">
        <v>2</v>
      </c>
      <c r="AK16" s="336">
        <v>2</v>
      </c>
      <c r="AL16" s="315">
        <f t="shared" si="1"/>
        <v>3</v>
      </c>
      <c r="AM16" s="315">
        <v>1</v>
      </c>
      <c r="AN16" s="315">
        <v>1</v>
      </c>
      <c r="AO16" s="315"/>
      <c r="AP16" s="315"/>
      <c r="AQ16" s="316">
        <v>1</v>
      </c>
      <c r="AR16" s="315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ht="15.75" x14ac:dyDescent="0.2">
      <c r="A17" s="327" t="s">
        <v>218</v>
      </c>
      <c r="B17" s="32">
        <v>198.02</v>
      </c>
      <c r="C17" s="32">
        <f>197325.52927664/1000</f>
        <v>197.32552927664</v>
      </c>
      <c r="D17" s="32">
        <f>205777.800518846/1000</f>
        <v>205.77780051884599</v>
      </c>
      <c r="E17" s="32">
        <f>214008.9125396/1000</f>
        <v>214.00891253959998</v>
      </c>
      <c r="F17" s="32">
        <f>222569.269041184/1000</f>
        <v>222.56926904118399</v>
      </c>
      <c r="G17" s="34">
        <v>220.604189484024</v>
      </c>
      <c r="H17" s="311">
        <v>574.89</v>
      </c>
      <c r="I17" s="125">
        <v>606.23077999999998</v>
      </c>
      <c r="J17" s="125">
        <v>574.13684000000001</v>
      </c>
      <c r="K17" s="125">
        <v>597.15299000000005</v>
      </c>
      <c r="L17" s="125">
        <v>643.45656999999994</v>
      </c>
      <c r="M17" s="180">
        <v>657.88965000000007</v>
      </c>
      <c r="N17" s="329">
        <v>673.51</v>
      </c>
      <c r="O17" s="125">
        <v>715.45</v>
      </c>
      <c r="P17" s="124">
        <v>666.35</v>
      </c>
      <c r="Q17" s="124">
        <v>651.35</v>
      </c>
      <c r="R17" s="124">
        <v>649.35</v>
      </c>
      <c r="S17" s="330">
        <v>646.35</v>
      </c>
      <c r="T17" s="307">
        <v>138</v>
      </c>
      <c r="U17" s="310">
        <v>115</v>
      </c>
      <c r="V17" s="314">
        <v>0</v>
      </c>
      <c r="W17" s="309">
        <v>0</v>
      </c>
      <c r="X17" s="331">
        <f t="shared" si="0"/>
        <v>20</v>
      </c>
      <c r="Y17" s="305">
        <v>3</v>
      </c>
      <c r="Z17" s="306">
        <v>0</v>
      </c>
      <c r="AA17" s="306">
        <v>3</v>
      </c>
      <c r="AB17" s="308">
        <v>1</v>
      </c>
      <c r="AC17" s="308">
        <v>6</v>
      </c>
      <c r="AD17" s="308">
        <v>2</v>
      </c>
      <c r="AE17" s="310">
        <v>5</v>
      </c>
      <c r="AF17" s="335">
        <v>27</v>
      </c>
      <c r="AG17" s="326">
        <v>30</v>
      </c>
      <c r="AH17" s="326">
        <v>0</v>
      </c>
      <c r="AI17" s="326">
        <v>0</v>
      </c>
      <c r="AJ17" s="326">
        <v>7</v>
      </c>
      <c r="AK17" s="336">
        <v>7</v>
      </c>
      <c r="AL17" s="315">
        <f t="shared" si="1"/>
        <v>5</v>
      </c>
      <c r="AM17" s="315">
        <v>1</v>
      </c>
      <c r="AN17" s="315">
        <v>2</v>
      </c>
      <c r="AO17" s="315"/>
      <c r="AP17" s="315"/>
      <c r="AQ17" s="316">
        <v>1</v>
      </c>
      <c r="AR17" s="315">
        <v>1</v>
      </c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15.75" x14ac:dyDescent="0.2">
      <c r="A18" s="327" t="s">
        <v>229</v>
      </c>
      <c r="B18" s="32">
        <v>2.9</v>
      </c>
      <c r="C18" s="32">
        <f>2173.76138373491/1000</f>
        <v>2.1737613837349099</v>
      </c>
      <c r="D18" s="32">
        <f>2267.23312323551/1000</f>
        <v>2.2672331232355099</v>
      </c>
      <c r="E18" s="32">
        <f>2357.92244816493/1000</f>
        <v>2.3579224481649299</v>
      </c>
      <c r="F18" s="32">
        <f>2452.23934609153/1000</f>
        <v>2.4522393460915302</v>
      </c>
      <c r="G18" s="34">
        <v>2.5503289199351897</v>
      </c>
      <c r="H18" s="311">
        <v>67.27</v>
      </c>
      <c r="I18" s="125">
        <v>82.830660000000009</v>
      </c>
      <c r="J18" s="125">
        <v>87.678110000000004</v>
      </c>
      <c r="K18" s="125">
        <v>91.308160000000001</v>
      </c>
      <c r="L18" s="125">
        <v>95.088880000000003</v>
      </c>
      <c r="M18" s="180">
        <v>99.028120000000001</v>
      </c>
      <c r="N18" s="329">
        <v>181.76</v>
      </c>
      <c r="O18" s="125">
        <v>192.16</v>
      </c>
      <c r="P18" s="124">
        <v>188.56</v>
      </c>
      <c r="Q18" s="124">
        <v>188.56</v>
      </c>
      <c r="R18" s="124">
        <v>188.56</v>
      </c>
      <c r="S18" s="330">
        <v>188.56</v>
      </c>
      <c r="T18" s="307">
        <v>143</v>
      </c>
      <c r="U18" s="310">
        <v>120</v>
      </c>
      <c r="V18" s="314">
        <v>0</v>
      </c>
      <c r="W18" s="309">
        <v>0</v>
      </c>
      <c r="X18" s="331">
        <f t="shared" si="0"/>
        <v>19</v>
      </c>
      <c r="Y18" s="305">
        <v>3</v>
      </c>
      <c r="Z18" s="306">
        <v>3</v>
      </c>
      <c r="AA18" s="306">
        <v>1</v>
      </c>
      <c r="AB18" s="308">
        <v>0</v>
      </c>
      <c r="AC18" s="308">
        <v>3</v>
      </c>
      <c r="AD18" s="308">
        <v>2</v>
      </c>
      <c r="AE18" s="310">
        <v>7</v>
      </c>
      <c r="AF18" s="335">
        <v>25</v>
      </c>
      <c r="AG18" s="326">
        <v>27</v>
      </c>
      <c r="AH18" s="326">
        <v>1</v>
      </c>
      <c r="AI18" s="326">
        <v>1</v>
      </c>
      <c r="AJ18" s="326">
        <v>1</v>
      </c>
      <c r="AK18" s="336">
        <v>1</v>
      </c>
      <c r="AL18" s="315">
        <f t="shared" si="1"/>
        <v>6</v>
      </c>
      <c r="AM18" s="315">
        <v>2</v>
      </c>
      <c r="AN18" s="315">
        <v>3</v>
      </c>
      <c r="AO18" s="315"/>
      <c r="AP18" s="315"/>
      <c r="AQ18" s="316">
        <v>1</v>
      </c>
      <c r="AR18" s="315"/>
      <c r="AS18" s="28"/>
      <c r="AT18" s="28"/>
      <c r="AU18" s="28"/>
      <c r="AV18" s="28"/>
      <c r="AY18" s="28"/>
      <c r="AZ18" s="28"/>
      <c r="BA18" s="28"/>
      <c r="BB18" s="28"/>
      <c r="BC18" s="28"/>
    </row>
    <row r="19" spans="1:55" ht="18.75" customHeight="1" x14ac:dyDescent="0.2">
      <c r="A19" s="327" t="s">
        <v>230</v>
      </c>
      <c r="B19" s="32">
        <v>2.0299999999999998</v>
      </c>
      <c r="C19" s="32">
        <f>1227.83333333333/1000</f>
        <v>1.22783333333333</v>
      </c>
      <c r="D19" s="32">
        <f>1280.63016666667/1000</f>
        <v>1.28063016666667</v>
      </c>
      <c r="E19" s="32">
        <f>1331.85537333333/1000</f>
        <v>1.3318553733333298</v>
      </c>
      <c r="F19" s="32">
        <f>1385.12958826667/1000</f>
        <v>1.3851295882666701</v>
      </c>
      <c r="G19" s="34">
        <v>1.44053477179733</v>
      </c>
      <c r="H19" s="311">
        <v>12.5</v>
      </c>
      <c r="I19" s="125">
        <v>14.581809999999999</v>
      </c>
      <c r="J19" s="125">
        <v>15.820110000000001</v>
      </c>
      <c r="K19" s="125">
        <v>16.459150000000001</v>
      </c>
      <c r="L19" s="125">
        <v>17.125400000000003</v>
      </c>
      <c r="M19" s="180">
        <v>17.817820000000001</v>
      </c>
      <c r="N19" s="329">
        <v>29.5</v>
      </c>
      <c r="O19" s="125">
        <v>31.599999999999998</v>
      </c>
      <c r="P19" s="124">
        <v>32.200000000000003</v>
      </c>
      <c r="Q19" s="124">
        <v>32.200000000000003</v>
      </c>
      <c r="R19" s="124">
        <v>32.200000000000003</v>
      </c>
      <c r="S19" s="330">
        <v>32.200000000000003</v>
      </c>
      <c r="T19" s="307">
        <v>28</v>
      </c>
      <c r="U19" s="310">
        <v>20</v>
      </c>
      <c r="V19" s="314">
        <v>0</v>
      </c>
      <c r="W19" s="309">
        <v>0</v>
      </c>
      <c r="X19" s="331">
        <f t="shared" si="0"/>
        <v>3</v>
      </c>
      <c r="Y19" s="305">
        <v>0</v>
      </c>
      <c r="Z19" s="306">
        <v>1</v>
      </c>
      <c r="AA19" s="306">
        <v>0</v>
      </c>
      <c r="AB19" s="308">
        <v>0</v>
      </c>
      <c r="AC19" s="308">
        <v>0</v>
      </c>
      <c r="AD19" s="308">
        <v>0</v>
      </c>
      <c r="AE19" s="310">
        <v>2</v>
      </c>
      <c r="AF19" s="335">
        <v>4</v>
      </c>
      <c r="AG19" s="326">
        <v>6</v>
      </c>
      <c r="AH19" s="326">
        <v>0</v>
      </c>
      <c r="AI19" s="326">
        <v>0</v>
      </c>
      <c r="AJ19" s="326">
        <v>0</v>
      </c>
      <c r="AK19" s="336">
        <v>0</v>
      </c>
      <c r="AL19" s="315">
        <f t="shared" si="1"/>
        <v>2</v>
      </c>
      <c r="AM19" s="315">
        <v>0</v>
      </c>
      <c r="AN19" s="315">
        <v>1</v>
      </c>
      <c r="AO19" s="315"/>
      <c r="AP19" s="315"/>
      <c r="AQ19" s="316">
        <v>1</v>
      </c>
      <c r="AR19" s="315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15.75" x14ac:dyDescent="0.2">
      <c r="A20" s="327" t="s">
        <v>231</v>
      </c>
      <c r="B20" s="32">
        <v>1287.45</v>
      </c>
      <c r="C20" s="32">
        <f>1304582.87139916/1000</f>
        <v>1304.58287139916</v>
      </c>
      <c r="D20" s="32">
        <f>1369099.53086932/1000</f>
        <v>1369.09953086932</v>
      </c>
      <c r="E20" s="32">
        <f>1423863.1921041/1000</f>
        <v>1423.8631921041001</v>
      </c>
      <c r="F20" s="32">
        <f>1480817.43978826/1000</f>
        <v>1480.8174397882601</v>
      </c>
      <c r="G20" s="34">
        <v>1540.04397737979</v>
      </c>
      <c r="H20" s="311">
        <v>117.62</v>
      </c>
      <c r="I20" s="125">
        <v>415.38734000000005</v>
      </c>
      <c r="J20" s="125">
        <v>446.16123999999996</v>
      </c>
      <c r="K20" s="125">
        <v>464.03537</v>
      </c>
      <c r="L20" s="125">
        <v>490.53267</v>
      </c>
      <c r="M20" s="180">
        <v>510.14587999999998</v>
      </c>
      <c r="N20" s="329">
        <v>369</v>
      </c>
      <c r="O20" s="125">
        <v>695.8</v>
      </c>
      <c r="P20" s="124">
        <v>700.1</v>
      </c>
      <c r="Q20" s="124">
        <v>700.1</v>
      </c>
      <c r="R20" s="124">
        <v>700.1</v>
      </c>
      <c r="S20" s="330">
        <v>700.1</v>
      </c>
      <c r="T20" s="307">
        <v>108</v>
      </c>
      <c r="U20" s="310">
        <v>96</v>
      </c>
      <c r="V20" s="314">
        <v>0</v>
      </c>
      <c r="W20" s="309">
        <v>0</v>
      </c>
      <c r="X20" s="331">
        <f t="shared" si="0"/>
        <v>20</v>
      </c>
      <c r="Y20" s="305">
        <v>1</v>
      </c>
      <c r="Z20" s="306">
        <v>2</v>
      </c>
      <c r="AA20" s="306">
        <v>2</v>
      </c>
      <c r="AB20" s="308">
        <v>1</v>
      </c>
      <c r="AC20" s="308">
        <v>5</v>
      </c>
      <c r="AD20" s="308">
        <v>1</v>
      </c>
      <c r="AE20" s="310">
        <v>8</v>
      </c>
      <c r="AF20" s="335">
        <v>33</v>
      </c>
      <c r="AG20" s="326">
        <v>33</v>
      </c>
      <c r="AH20" s="326">
        <v>0</v>
      </c>
      <c r="AI20" s="326">
        <v>0</v>
      </c>
      <c r="AJ20" s="326">
        <v>2</v>
      </c>
      <c r="AK20" s="336">
        <v>4</v>
      </c>
      <c r="AL20" s="315">
        <f t="shared" si="1"/>
        <v>6</v>
      </c>
      <c r="AM20" s="315">
        <v>1</v>
      </c>
      <c r="AN20" s="315">
        <v>4</v>
      </c>
      <c r="AO20" s="315"/>
      <c r="AP20" s="315"/>
      <c r="AQ20" s="316">
        <v>1</v>
      </c>
      <c r="AR20" s="315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18.75" customHeight="1" x14ac:dyDescent="0.2">
      <c r="A21" s="327" t="s">
        <v>232</v>
      </c>
      <c r="B21" s="32">
        <v>2.02</v>
      </c>
      <c r="C21" s="32">
        <f>1227.83333333333/1000</f>
        <v>1.22783333333333</v>
      </c>
      <c r="D21" s="32">
        <f>1280.63016666667/1000</f>
        <v>1.28063016666667</v>
      </c>
      <c r="E21" s="32">
        <f>1331.85537333333/1000</f>
        <v>1.3318553733333298</v>
      </c>
      <c r="F21" s="32">
        <f>1385.12958826667/1000</f>
        <v>1.3851295882666701</v>
      </c>
      <c r="G21" s="34">
        <v>1.44053477179733</v>
      </c>
      <c r="H21" s="311">
        <v>26.26</v>
      </c>
      <c r="I21" s="125">
        <v>30.01511</v>
      </c>
      <c r="J21" s="125">
        <v>31.276610000000002</v>
      </c>
      <c r="K21" s="125">
        <v>32.534680000000002</v>
      </c>
      <c r="L21" s="125">
        <v>33.844540000000002</v>
      </c>
      <c r="M21" s="180">
        <v>35.207169999999998</v>
      </c>
      <c r="N21" s="329">
        <v>73.69</v>
      </c>
      <c r="O21" s="125">
        <v>73.099999999999994</v>
      </c>
      <c r="P21" s="124">
        <v>72.199999999999989</v>
      </c>
      <c r="Q21" s="124">
        <v>72.199999999999989</v>
      </c>
      <c r="R21" s="124">
        <v>72.199999999999989</v>
      </c>
      <c r="S21" s="330">
        <v>72.199999999999989</v>
      </c>
      <c r="T21" s="307">
        <v>68</v>
      </c>
      <c r="U21" s="310">
        <v>50</v>
      </c>
      <c r="V21" s="314">
        <v>0</v>
      </c>
      <c r="W21" s="309">
        <v>0</v>
      </c>
      <c r="X21" s="331">
        <f t="shared" si="0"/>
        <v>3</v>
      </c>
      <c r="Y21" s="305">
        <v>0</v>
      </c>
      <c r="Z21" s="306">
        <v>1</v>
      </c>
      <c r="AA21" s="306">
        <v>0</v>
      </c>
      <c r="AB21" s="308">
        <v>0</v>
      </c>
      <c r="AC21" s="308">
        <v>0</v>
      </c>
      <c r="AD21" s="308">
        <v>0</v>
      </c>
      <c r="AE21" s="310">
        <v>2</v>
      </c>
      <c r="AF21" s="335">
        <v>9</v>
      </c>
      <c r="AG21" s="326">
        <v>9</v>
      </c>
      <c r="AH21" s="326">
        <v>0</v>
      </c>
      <c r="AI21" s="326">
        <v>0</v>
      </c>
      <c r="AJ21" s="326">
        <v>1</v>
      </c>
      <c r="AK21" s="336">
        <v>1</v>
      </c>
      <c r="AL21" s="315">
        <f t="shared" si="1"/>
        <v>3</v>
      </c>
      <c r="AM21" s="315">
        <v>1</v>
      </c>
      <c r="AN21" s="315">
        <v>1</v>
      </c>
      <c r="AO21" s="315"/>
      <c r="AP21" s="315"/>
      <c r="AQ21" s="316">
        <v>1</v>
      </c>
      <c r="AR21" s="315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ht="15.75" x14ac:dyDescent="0.2">
      <c r="A22" s="327" t="s">
        <v>233</v>
      </c>
      <c r="B22" s="32">
        <v>304.72000000000003</v>
      </c>
      <c r="C22" s="32">
        <f>303924.809461837/1000</f>
        <v>303.92480946183701</v>
      </c>
      <c r="D22" s="32">
        <f>316993.576268696/1000</f>
        <v>316.99357626869602</v>
      </c>
      <c r="E22" s="32">
        <f>329673.319319444/1000</f>
        <v>329.67331931944403</v>
      </c>
      <c r="F22" s="32">
        <f>342860.252092221/1000</f>
        <v>342.860252092221</v>
      </c>
      <c r="G22" s="34">
        <v>356.57466217591002</v>
      </c>
      <c r="H22" s="311">
        <v>200.79</v>
      </c>
      <c r="I22" s="125">
        <v>219.08257</v>
      </c>
      <c r="J22" s="125">
        <v>230.12971999999999</v>
      </c>
      <c r="K22" s="125">
        <v>238.48579999999998</v>
      </c>
      <c r="L22" s="125">
        <v>248.03483</v>
      </c>
      <c r="M22" s="180">
        <v>257.07310000000001</v>
      </c>
      <c r="N22" s="329">
        <v>461.28</v>
      </c>
      <c r="O22" s="125">
        <v>456.4</v>
      </c>
      <c r="P22" s="124">
        <v>465.29999999999995</v>
      </c>
      <c r="Q22" s="124">
        <v>465.29999999999995</v>
      </c>
      <c r="R22" s="124">
        <v>465.29999999999995</v>
      </c>
      <c r="S22" s="330">
        <v>465.29999999999995</v>
      </c>
      <c r="T22" s="307">
        <v>28</v>
      </c>
      <c r="U22" s="310">
        <v>23</v>
      </c>
      <c r="V22" s="314">
        <v>0</v>
      </c>
      <c r="W22" s="309">
        <v>0</v>
      </c>
      <c r="X22" s="331">
        <f t="shared" si="0"/>
        <v>20</v>
      </c>
      <c r="Y22" s="305">
        <v>3</v>
      </c>
      <c r="Z22" s="306">
        <v>3</v>
      </c>
      <c r="AA22" s="306">
        <v>1</v>
      </c>
      <c r="AB22" s="308">
        <v>4</v>
      </c>
      <c r="AC22" s="308">
        <v>4</v>
      </c>
      <c r="AD22" s="308">
        <v>1</v>
      </c>
      <c r="AE22" s="310">
        <v>4</v>
      </c>
      <c r="AF22" s="335">
        <v>20</v>
      </c>
      <c r="AG22" s="326">
        <v>20</v>
      </c>
      <c r="AH22" s="326">
        <v>3</v>
      </c>
      <c r="AI22" s="326">
        <v>3</v>
      </c>
      <c r="AJ22" s="326">
        <v>14</v>
      </c>
      <c r="AK22" s="336">
        <v>14</v>
      </c>
      <c r="AL22" s="315">
        <f t="shared" si="1"/>
        <v>5</v>
      </c>
      <c r="AM22" s="315">
        <v>0</v>
      </c>
      <c r="AN22" s="315">
        <v>1</v>
      </c>
      <c r="AO22" s="315"/>
      <c r="AP22" s="315">
        <v>1</v>
      </c>
      <c r="AQ22" s="316">
        <v>1</v>
      </c>
      <c r="AR22" s="315">
        <v>2</v>
      </c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ht="15.75" x14ac:dyDescent="0.2">
      <c r="A23" s="327" t="s">
        <v>234</v>
      </c>
      <c r="B23" s="32">
        <v>11.487</v>
      </c>
      <c r="C23" s="32">
        <f>10687.1138373491/1000</f>
        <v>10.687113837349099</v>
      </c>
      <c r="D23" s="32">
        <f>11146.6597323551/1000</f>
        <v>11.146659732355099</v>
      </c>
      <c r="E23" s="32">
        <f>11592.5261216493/1000</f>
        <v>11.5925261216493</v>
      </c>
      <c r="F23" s="32">
        <f>12056.2271665153/1000</f>
        <v>12.056227166515301</v>
      </c>
      <c r="G23" s="34">
        <v>12.538476253175901</v>
      </c>
      <c r="H23" s="311">
        <v>16.7</v>
      </c>
      <c r="I23" s="125">
        <v>18.134070000000001</v>
      </c>
      <c r="J23" s="125">
        <v>19.321369999999998</v>
      </c>
      <c r="K23" s="125">
        <v>19.976040000000001</v>
      </c>
      <c r="L23" s="125">
        <v>20.784680000000002</v>
      </c>
      <c r="M23" s="180">
        <v>21.494250000000001</v>
      </c>
      <c r="N23" s="329">
        <v>56.400000000000006</v>
      </c>
      <c r="O23" s="125">
        <v>53.7</v>
      </c>
      <c r="P23" s="124">
        <v>54.2</v>
      </c>
      <c r="Q23" s="124">
        <v>54.2</v>
      </c>
      <c r="R23" s="124">
        <v>54.2</v>
      </c>
      <c r="S23" s="330">
        <v>54.2</v>
      </c>
      <c r="T23" s="307">
        <v>27</v>
      </c>
      <c r="U23" s="310">
        <v>20</v>
      </c>
      <c r="V23" s="314">
        <v>0</v>
      </c>
      <c r="W23" s="309">
        <v>0</v>
      </c>
      <c r="X23" s="331">
        <f t="shared" si="0"/>
        <v>6</v>
      </c>
      <c r="Y23" s="305">
        <v>0</v>
      </c>
      <c r="Z23" s="306">
        <v>0</v>
      </c>
      <c r="AA23" s="306">
        <v>3</v>
      </c>
      <c r="AB23" s="308">
        <v>0</v>
      </c>
      <c r="AC23" s="308">
        <v>1</v>
      </c>
      <c r="AD23" s="308">
        <v>0</v>
      </c>
      <c r="AE23" s="310">
        <v>2</v>
      </c>
      <c r="AF23" s="335">
        <v>6</v>
      </c>
      <c r="AG23" s="326">
        <v>7</v>
      </c>
      <c r="AH23" s="326">
        <v>0</v>
      </c>
      <c r="AI23" s="326">
        <v>0</v>
      </c>
      <c r="AJ23" s="326">
        <v>3</v>
      </c>
      <c r="AK23" s="336">
        <v>3</v>
      </c>
      <c r="AL23" s="315">
        <f t="shared" si="1"/>
        <v>2</v>
      </c>
      <c r="AM23" s="315">
        <v>0</v>
      </c>
      <c r="AN23" s="315">
        <v>1</v>
      </c>
      <c r="AO23" s="315"/>
      <c r="AP23" s="315"/>
      <c r="AQ23" s="316">
        <v>1</v>
      </c>
      <c r="AR23" s="31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15.75" x14ac:dyDescent="0.2">
      <c r="A24" s="327" t="s">
        <v>213</v>
      </c>
      <c r="B24" s="32">
        <v>43.514000000000003</v>
      </c>
      <c r="C24" s="32">
        <f>42854.5957803805/1000</f>
        <v>42.8545957803805</v>
      </c>
      <c r="D24" s="32">
        <f>44660.0988333269/1000</f>
        <v>44.660098833326899</v>
      </c>
      <c r="E24" s="32">
        <f>46446.50278666/1000</f>
        <v>46.446502786659998</v>
      </c>
      <c r="F24" s="32">
        <f>48304.3628981264/1000</f>
        <v>48.304362898126399</v>
      </c>
      <c r="G24" s="34">
        <v>37.868329453741701</v>
      </c>
      <c r="H24" s="311">
        <v>521.70000000000005</v>
      </c>
      <c r="I24" s="125">
        <v>565.07232999999997</v>
      </c>
      <c r="J24" s="125">
        <v>517.75740999999994</v>
      </c>
      <c r="K24" s="125">
        <v>538.54250000000002</v>
      </c>
      <c r="L24" s="125">
        <v>630.33043999999995</v>
      </c>
      <c r="M24" s="180">
        <v>643.11169999999993</v>
      </c>
      <c r="N24" s="329">
        <v>587.39999999999986</v>
      </c>
      <c r="O24" s="125">
        <v>622.9</v>
      </c>
      <c r="P24" s="124">
        <v>600.29999999999995</v>
      </c>
      <c r="Q24" s="124">
        <v>596.29999999999995</v>
      </c>
      <c r="R24" s="124">
        <v>594.29999999999995</v>
      </c>
      <c r="S24" s="330">
        <v>592.29999999999995</v>
      </c>
      <c r="T24" s="307">
        <v>22</v>
      </c>
      <c r="U24" s="310">
        <v>35</v>
      </c>
      <c r="V24" s="314">
        <v>0</v>
      </c>
      <c r="W24" s="309">
        <v>0</v>
      </c>
      <c r="X24" s="331">
        <f t="shared" si="0"/>
        <v>11</v>
      </c>
      <c r="Y24" s="305">
        <v>0</v>
      </c>
      <c r="Z24" s="306">
        <v>1</v>
      </c>
      <c r="AA24" s="306">
        <v>1</v>
      </c>
      <c r="AB24" s="308">
        <v>1</v>
      </c>
      <c r="AC24" s="308">
        <v>4</v>
      </c>
      <c r="AD24" s="308">
        <v>0</v>
      </c>
      <c r="AE24" s="310">
        <v>4</v>
      </c>
      <c r="AF24" s="335">
        <v>9</v>
      </c>
      <c r="AG24" s="326">
        <v>9</v>
      </c>
      <c r="AH24" s="326">
        <v>0</v>
      </c>
      <c r="AI24" s="326">
        <v>0</v>
      </c>
      <c r="AJ24" s="326">
        <v>6</v>
      </c>
      <c r="AK24" s="336">
        <v>6</v>
      </c>
      <c r="AL24" s="315">
        <f t="shared" si="1"/>
        <v>3</v>
      </c>
      <c r="AM24" s="315">
        <v>1</v>
      </c>
      <c r="AN24" s="315">
        <v>1</v>
      </c>
      <c r="AO24" s="315"/>
      <c r="AP24" s="315"/>
      <c r="AQ24" s="316">
        <v>1</v>
      </c>
      <c r="AR24" s="31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ht="15.75" x14ac:dyDescent="0.2">
      <c r="A25" s="327" t="s">
        <v>217</v>
      </c>
      <c r="B25" s="32">
        <v>642.38</v>
      </c>
      <c r="C25" s="32">
        <f>772093.114299475/1000</f>
        <v>772.09311429947502</v>
      </c>
      <c r="D25" s="32">
        <f>805245.622411772/1000</f>
        <v>805.24562241177205</v>
      </c>
      <c r="E25" s="32">
        <f>837455.447308243/1000</f>
        <v>837.45544730824304</v>
      </c>
      <c r="F25" s="32">
        <f>870953.665200573/1000</f>
        <v>870.95366520057303</v>
      </c>
      <c r="G25" s="34">
        <v>879.25472315362094</v>
      </c>
      <c r="H25" s="311">
        <v>282.11500000000001</v>
      </c>
      <c r="I25" s="125">
        <v>102.258</v>
      </c>
      <c r="J25" s="125">
        <v>106.77455999999999</v>
      </c>
      <c r="K25" s="125">
        <v>111.00363</v>
      </c>
      <c r="L25" s="125">
        <v>115.61888999999999</v>
      </c>
      <c r="M25" s="180">
        <v>120.22488</v>
      </c>
      <c r="N25" s="329">
        <v>637.77</v>
      </c>
      <c r="O25" s="125">
        <v>262.17</v>
      </c>
      <c r="P25" s="124">
        <v>255.57</v>
      </c>
      <c r="Q25" s="124">
        <v>255.57</v>
      </c>
      <c r="R25" s="124">
        <v>255.57</v>
      </c>
      <c r="S25" s="330">
        <v>255.57</v>
      </c>
      <c r="T25" s="307">
        <v>188</v>
      </c>
      <c r="U25" s="310">
        <v>130</v>
      </c>
      <c r="V25" s="314">
        <v>0</v>
      </c>
      <c r="W25" s="309">
        <v>0</v>
      </c>
      <c r="X25" s="331">
        <f t="shared" si="0"/>
        <v>28</v>
      </c>
      <c r="Y25" s="305">
        <v>2</v>
      </c>
      <c r="Z25" s="306">
        <v>2</v>
      </c>
      <c r="AA25" s="306">
        <v>4</v>
      </c>
      <c r="AB25" s="308">
        <v>1</v>
      </c>
      <c r="AC25" s="308">
        <v>6</v>
      </c>
      <c r="AD25" s="308">
        <v>5</v>
      </c>
      <c r="AE25" s="310">
        <v>8</v>
      </c>
      <c r="AF25" s="335">
        <v>39</v>
      </c>
      <c r="AG25" s="326">
        <v>37</v>
      </c>
      <c r="AH25" s="326">
        <v>0</v>
      </c>
      <c r="AI25" s="326">
        <v>0</v>
      </c>
      <c r="AJ25" s="326">
        <v>8</v>
      </c>
      <c r="AK25" s="336">
        <v>8</v>
      </c>
      <c r="AL25" s="315">
        <f t="shared" si="1"/>
        <v>4</v>
      </c>
      <c r="AM25" s="315">
        <v>1</v>
      </c>
      <c r="AN25" s="315">
        <v>1</v>
      </c>
      <c r="AO25" s="315">
        <v>1</v>
      </c>
      <c r="AP25" s="315"/>
      <c r="AQ25" s="316">
        <v>1</v>
      </c>
      <c r="AR25" s="315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5.75" x14ac:dyDescent="0.2">
      <c r="A26" s="327" t="s">
        <v>235</v>
      </c>
      <c r="B26" s="32">
        <v>2.02</v>
      </c>
      <c r="C26" s="32">
        <f>1227.83333333333/1000</f>
        <v>1.22783333333333</v>
      </c>
      <c r="D26" s="32">
        <f>1280.63016666667/1000</f>
        <v>1.28063016666667</v>
      </c>
      <c r="E26" s="32">
        <f>1331.85537333333/1000</f>
        <v>1.3318553733333298</v>
      </c>
      <c r="F26" s="32">
        <f>1385.12958826667/1000</f>
        <v>1.3851295882666701</v>
      </c>
      <c r="G26" s="34">
        <v>1.44053477179733</v>
      </c>
      <c r="H26" s="311">
        <v>26.814</v>
      </c>
      <c r="I26" s="125">
        <v>29.601410000000001</v>
      </c>
      <c r="J26" s="125">
        <v>31.196380000000001</v>
      </c>
      <c r="K26" s="125">
        <v>32.451039999999999</v>
      </c>
      <c r="L26" s="125">
        <v>33.756480000000003</v>
      </c>
      <c r="M26" s="180">
        <v>35.114660000000001</v>
      </c>
      <c r="N26" s="329">
        <v>75.599999999999994</v>
      </c>
      <c r="O26" s="125">
        <v>70</v>
      </c>
      <c r="P26" s="124">
        <v>69.599999999999994</v>
      </c>
      <c r="Q26" s="124">
        <v>69.599999999999994</v>
      </c>
      <c r="R26" s="124">
        <v>69.599999999999994</v>
      </c>
      <c r="S26" s="330">
        <v>69.599999999999994</v>
      </c>
      <c r="T26" s="307">
        <v>24</v>
      </c>
      <c r="U26" s="310">
        <v>20</v>
      </c>
      <c r="V26" s="314">
        <v>0</v>
      </c>
      <c r="W26" s="309">
        <v>0</v>
      </c>
      <c r="X26" s="331">
        <f t="shared" si="0"/>
        <v>7</v>
      </c>
      <c r="Y26" s="305">
        <v>0</v>
      </c>
      <c r="Z26" s="306">
        <v>0</v>
      </c>
      <c r="AA26" s="306">
        <v>1</v>
      </c>
      <c r="AB26" s="308">
        <v>0</v>
      </c>
      <c r="AC26" s="308">
        <v>1</v>
      </c>
      <c r="AD26" s="308">
        <v>0</v>
      </c>
      <c r="AE26" s="310">
        <v>5</v>
      </c>
      <c r="AF26" s="335">
        <v>9</v>
      </c>
      <c r="AG26" s="326">
        <v>8</v>
      </c>
      <c r="AH26" s="326">
        <v>0</v>
      </c>
      <c r="AI26" s="326">
        <v>0</v>
      </c>
      <c r="AJ26" s="326">
        <v>0</v>
      </c>
      <c r="AK26" s="336">
        <v>0</v>
      </c>
      <c r="AL26" s="315">
        <f t="shared" si="1"/>
        <v>3</v>
      </c>
      <c r="AM26" s="315">
        <v>1</v>
      </c>
      <c r="AN26" s="315">
        <v>1</v>
      </c>
      <c r="AO26" s="315"/>
      <c r="AP26" s="315"/>
      <c r="AQ26" s="316">
        <v>1</v>
      </c>
      <c r="AR26" s="315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ht="15.75" x14ac:dyDescent="0.2">
      <c r="A27" s="327" t="s">
        <v>236</v>
      </c>
      <c r="B27" s="32">
        <v>219.93199999999999</v>
      </c>
      <c r="C27" s="32">
        <f>219151.061025695/1000</f>
        <v>219.15106102569501</v>
      </c>
      <c r="D27" s="32">
        <f>228572.3979932/1000</f>
        <v>228.57239799319998</v>
      </c>
      <c r="E27" s="32">
        <f>237715.293912928/1000</f>
        <v>237.71529391292799</v>
      </c>
      <c r="F27" s="32">
        <f>247223.905669445/1000</f>
        <v>247.223905669445</v>
      </c>
      <c r="G27" s="34">
        <v>257.11286189622302</v>
      </c>
      <c r="H27" s="311">
        <v>74.95</v>
      </c>
      <c r="I27" s="125">
        <v>86.506690000000006</v>
      </c>
      <c r="J27" s="125">
        <v>97.068649999999991</v>
      </c>
      <c r="K27" s="125">
        <v>100.8126</v>
      </c>
      <c r="L27" s="125">
        <v>104.93226</v>
      </c>
      <c r="M27" s="180">
        <v>108.99797</v>
      </c>
      <c r="N27" s="329">
        <v>212.05</v>
      </c>
      <c r="O27" s="125">
        <v>226.45</v>
      </c>
      <c r="P27" s="124">
        <v>222.15</v>
      </c>
      <c r="Q27" s="124">
        <v>222.15</v>
      </c>
      <c r="R27" s="124">
        <v>223.15</v>
      </c>
      <c r="S27" s="330">
        <v>221.15</v>
      </c>
      <c r="T27" s="307">
        <v>103</v>
      </c>
      <c r="U27" s="310">
        <v>93</v>
      </c>
      <c r="V27" s="314">
        <v>0</v>
      </c>
      <c r="W27" s="309">
        <v>0</v>
      </c>
      <c r="X27" s="331">
        <f t="shared" si="0"/>
        <v>22</v>
      </c>
      <c r="Y27" s="305">
        <v>2</v>
      </c>
      <c r="Z27" s="306">
        <v>2</v>
      </c>
      <c r="AA27" s="306">
        <v>3</v>
      </c>
      <c r="AB27" s="308">
        <v>2</v>
      </c>
      <c r="AC27" s="308">
        <v>6</v>
      </c>
      <c r="AD27" s="308">
        <v>0</v>
      </c>
      <c r="AE27" s="310">
        <v>7</v>
      </c>
      <c r="AF27" s="335">
        <v>49</v>
      </c>
      <c r="AG27" s="326">
        <v>52</v>
      </c>
      <c r="AH27" s="326">
        <v>1</v>
      </c>
      <c r="AI27" s="326">
        <v>1</v>
      </c>
      <c r="AJ27" s="326">
        <v>4</v>
      </c>
      <c r="AK27" s="336">
        <v>4</v>
      </c>
      <c r="AL27" s="315">
        <f t="shared" si="1"/>
        <v>5</v>
      </c>
      <c r="AM27" s="315">
        <v>1</v>
      </c>
      <c r="AN27" s="315">
        <v>2</v>
      </c>
      <c r="AO27" s="315">
        <v>1</v>
      </c>
      <c r="AP27" s="315"/>
      <c r="AQ27" s="316">
        <v>1</v>
      </c>
      <c r="AR27" s="315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ht="15.75" x14ac:dyDescent="0.2">
      <c r="A28" s="327" t="s">
        <v>219</v>
      </c>
      <c r="B28" s="32">
        <v>53.52</v>
      </c>
      <c r="C28" s="32">
        <f>52967.3995503805/1000</f>
        <v>52.967399550380499</v>
      </c>
      <c r="D28" s="32">
        <f>55179.3246628169/1000</f>
        <v>55.179324662816903</v>
      </c>
      <c r="E28" s="32">
        <f>57386.4976493296/1000</f>
        <v>57.386497649329598</v>
      </c>
      <c r="F28" s="32">
        <f>59681.9575553028/1000</f>
        <v>59.681957555302795</v>
      </c>
      <c r="G28" s="34">
        <v>40.260465854243201</v>
      </c>
      <c r="H28" s="311">
        <v>101.18</v>
      </c>
      <c r="I28" s="125">
        <v>117.84775</v>
      </c>
      <c r="J28" s="125">
        <v>123.84864999999999</v>
      </c>
      <c r="K28" s="125">
        <v>128.77506</v>
      </c>
      <c r="L28" s="125">
        <v>134.07258999999999</v>
      </c>
      <c r="M28" s="180">
        <v>139.4265</v>
      </c>
      <c r="N28" s="329">
        <v>280.2</v>
      </c>
      <c r="O28" s="125">
        <v>280.8</v>
      </c>
      <c r="P28" s="124">
        <v>282.2</v>
      </c>
      <c r="Q28" s="124">
        <v>282.2</v>
      </c>
      <c r="R28" s="124">
        <v>283.2</v>
      </c>
      <c r="S28" s="330">
        <v>282.2</v>
      </c>
      <c r="T28" s="307">
        <v>171</v>
      </c>
      <c r="U28" s="310">
        <v>145</v>
      </c>
      <c r="V28" s="314">
        <v>0</v>
      </c>
      <c r="W28" s="309">
        <v>0</v>
      </c>
      <c r="X28" s="331">
        <f t="shared" si="0"/>
        <v>26</v>
      </c>
      <c r="Y28" s="305">
        <v>1</v>
      </c>
      <c r="Z28" s="306">
        <v>4</v>
      </c>
      <c r="AA28" s="306">
        <v>3</v>
      </c>
      <c r="AB28" s="308">
        <v>2</v>
      </c>
      <c r="AC28" s="308">
        <v>5</v>
      </c>
      <c r="AD28" s="308">
        <v>2</v>
      </c>
      <c r="AE28" s="310">
        <v>9</v>
      </c>
      <c r="AF28" s="335">
        <v>54</v>
      </c>
      <c r="AG28" s="326">
        <v>61</v>
      </c>
      <c r="AH28" s="326">
        <v>1</v>
      </c>
      <c r="AI28" s="326">
        <v>1</v>
      </c>
      <c r="AJ28" s="326">
        <v>5</v>
      </c>
      <c r="AK28" s="336">
        <v>5</v>
      </c>
      <c r="AL28" s="315">
        <f t="shared" si="1"/>
        <v>8</v>
      </c>
      <c r="AM28" s="315">
        <v>2</v>
      </c>
      <c r="AN28" s="315">
        <v>3</v>
      </c>
      <c r="AO28" s="315">
        <v>1</v>
      </c>
      <c r="AP28" s="315"/>
      <c r="AQ28" s="316">
        <v>1</v>
      </c>
      <c r="AR28" s="315">
        <v>1</v>
      </c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ht="15.75" x14ac:dyDescent="0.2">
      <c r="A29" s="327" t="s">
        <v>237</v>
      </c>
      <c r="B29" s="32">
        <v>110.8</v>
      </c>
      <c r="C29" s="32">
        <f>110009.559129514/1000</f>
        <v>110.009559129514</v>
      </c>
      <c r="D29" s="32">
        <f>114739.970172083/1000</f>
        <v>114.73997017208301</v>
      </c>
      <c r="E29" s="32">
        <f>119329.568978967/1000</f>
        <v>119.329568978967</v>
      </c>
      <c r="F29" s="32">
        <f>124102.751738125/1000</f>
        <v>124.10275173812501</v>
      </c>
      <c r="G29" s="34">
        <v>129.06686180764999</v>
      </c>
      <c r="H29" s="311">
        <v>35.74</v>
      </c>
      <c r="I29" s="125">
        <v>37.274730000000005</v>
      </c>
      <c r="J29" s="125">
        <v>39.963500000000003</v>
      </c>
      <c r="K29" s="125">
        <v>41.52028</v>
      </c>
      <c r="L29" s="125">
        <v>43.187050000000006</v>
      </c>
      <c r="M29" s="180">
        <v>44.871180000000003</v>
      </c>
      <c r="N29" s="329">
        <v>92.424999999999997</v>
      </c>
      <c r="O29" s="125">
        <v>93.7</v>
      </c>
      <c r="P29" s="124">
        <v>93.5</v>
      </c>
      <c r="Q29" s="124">
        <v>93.5</v>
      </c>
      <c r="R29" s="124">
        <v>94.5</v>
      </c>
      <c r="S29" s="330">
        <v>93.5</v>
      </c>
      <c r="T29" s="307">
        <v>55</v>
      </c>
      <c r="U29" s="310">
        <v>45</v>
      </c>
      <c r="V29" s="314">
        <v>0</v>
      </c>
      <c r="W29" s="309">
        <v>0</v>
      </c>
      <c r="X29" s="331">
        <f t="shared" si="0"/>
        <v>16</v>
      </c>
      <c r="Y29" s="305">
        <v>1</v>
      </c>
      <c r="Z29" s="306">
        <v>4</v>
      </c>
      <c r="AA29" s="306">
        <v>1</v>
      </c>
      <c r="AB29" s="308">
        <v>0</v>
      </c>
      <c r="AC29" s="308">
        <v>5</v>
      </c>
      <c r="AD29" s="308">
        <v>0</v>
      </c>
      <c r="AE29" s="310">
        <v>5</v>
      </c>
      <c r="AF29" s="335">
        <v>14</v>
      </c>
      <c r="AG29" s="326">
        <v>13</v>
      </c>
      <c r="AH29" s="326">
        <v>0</v>
      </c>
      <c r="AI29" s="326">
        <v>0</v>
      </c>
      <c r="AJ29" s="326">
        <v>7</v>
      </c>
      <c r="AK29" s="336">
        <v>7</v>
      </c>
      <c r="AL29" s="315">
        <f t="shared" si="1"/>
        <v>3</v>
      </c>
      <c r="AM29" s="315">
        <v>1</v>
      </c>
      <c r="AN29" s="315">
        <v>1</v>
      </c>
      <c r="AO29" s="315"/>
      <c r="AP29" s="315"/>
      <c r="AQ29" s="316">
        <v>1</v>
      </c>
      <c r="AR29" s="315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ht="15.75" x14ac:dyDescent="0.2">
      <c r="A30" s="327" t="s">
        <v>238</v>
      </c>
      <c r="B30" s="32">
        <v>124.99</v>
      </c>
      <c r="C30" s="32">
        <f>124198.479885538/1000</f>
        <v>124.19847988553801</v>
      </c>
      <c r="D30" s="32">
        <f>129539.014520616/1000</f>
        <v>129.53901452061601</v>
      </c>
      <c r="E30" s="32">
        <f>134720.575101441/1000</f>
        <v>134.720575101441</v>
      </c>
      <c r="F30" s="32">
        <f>140109.398105498/1000</f>
        <v>140.109398105498</v>
      </c>
      <c r="G30" s="34">
        <v>145.71377402971802</v>
      </c>
      <c r="H30" s="311">
        <v>46.4</v>
      </c>
      <c r="I30" s="125">
        <v>51.552059999999997</v>
      </c>
      <c r="J30" s="125">
        <v>55.8675</v>
      </c>
      <c r="K30" s="125">
        <v>58.073219999999999</v>
      </c>
      <c r="L30" s="125">
        <v>60.405459999999998</v>
      </c>
      <c r="M30" s="180">
        <v>62.791239999999995</v>
      </c>
      <c r="N30" s="329">
        <v>119.19</v>
      </c>
      <c r="O30" s="125">
        <v>118.49000000000001</v>
      </c>
      <c r="P30" s="124">
        <v>119.62</v>
      </c>
      <c r="Q30" s="124">
        <v>119.62</v>
      </c>
      <c r="R30" s="124">
        <v>119.62</v>
      </c>
      <c r="S30" s="330">
        <v>119.62</v>
      </c>
      <c r="T30" s="307">
        <v>94</v>
      </c>
      <c r="U30" s="310">
        <v>96</v>
      </c>
      <c r="V30" s="314">
        <v>0</v>
      </c>
      <c r="W30" s="309">
        <v>0</v>
      </c>
      <c r="X30" s="331">
        <f t="shared" si="0"/>
        <v>13</v>
      </c>
      <c r="Y30" s="305">
        <v>1</v>
      </c>
      <c r="Z30" s="306">
        <v>0</v>
      </c>
      <c r="AA30" s="306">
        <v>1</v>
      </c>
      <c r="AB30" s="308">
        <v>0</v>
      </c>
      <c r="AC30" s="308">
        <v>6</v>
      </c>
      <c r="AD30" s="308">
        <v>0</v>
      </c>
      <c r="AE30" s="310">
        <v>5</v>
      </c>
      <c r="AF30" s="335">
        <v>16</v>
      </c>
      <c r="AG30" s="326">
        <v>15</v>
      </c>
      <c r="AH30" s="326">
        <v>0</v>
      </c>
      <c r="AI30" s="326">
        <v>0</v>
      </c>
      <c r="AJ30" s="326">
        <v>3</v>
      </c>
      <c r="AK30" s="336">
        <v>3</v>
      </c>
      <c r="AL30" s="315">
        <f t="shared" si="1"/>
        <v>3</v>
      </c>
      <c r="AM30" s="315">
        <v>1</v>
      </c>
      <c r="AN30" s="315">
        <v>1</v>
      </c>
      <c r="AO30" s="315"/>
      <c r="AP30" s="315"/>
      <c r="AQ30" s="316">
        <v>1</v>
      </c>
      <c r="AR30" s="315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ht="15.75" x14ac:dyDescent="0.2">
      <c r="A31" s="327" t="s">
        <v>239</v>
      </c>
      <c r="B31" s="32"/>
      <c r="C31" s="32"/>
      <c r="D31" s="32"/>
      <c r="E31" s="32"/>
      <c r="F31" s="32"/>
      <c r="G31" s="34"/>
      <c r="H31" s="311"/>
      <c r="I31" s="125">
        <v>0</v>
      </c>
      <c r="J31" s="125">
        <v>0</v>
      </c>
      <c r="K31" s="125">
        <v>0</v>
      </c>
      <c r="L31" s="125">
        <v>0</v>
      </c>
      <c r="M31" s="180">
        <v>0</v>
      </c>
      <c r="N31" s="329">
        <v>0</v>
      </c>
      <c r="O31" s="125">
        <v>0</v>
      </c>
      <c r="P31" s="124">
        <v>0</v>
      </c>
      <c r="Q31" s="124">
        <v>0</v>
      </c>
      <c r="R31" s="124">
        <v>0</v>
      </c>
      <c r="S31" s="330">
        <v>0</v>
      </c>
      <c r="T31" s="307">
        <v>0</v>
      </c>
      <c r="U31" s="310">
        <v>2</v>
      </c>
      <c r="V31" s="314">
        <v>0</v>
      </c>
      <c r="W31" s="309">
        <v>0</v>
      </c>
      <c r="X31" s="331">
        <f t="shared" si="0"/>
        <v>0</v>
      </c>
      <c r="Y31" s="305">
        <v>0</v>
      </c>
      <c r="Z31" s="306">
        <v>0</v>
      </c>
      <c r="AA31" s="306">
        <v>0</v>
      </c>
      <c r="AB31" s="308">
        <v>0</v>
      </c>
      <c r="AC31" s="308">
        <v>0</v>
      </c>
      <c r="AD31" s="308">
        <v>0</v>
      </c>
      <c r="AE31" s="310">
        <v>0</v>
      </c>
      <c r="AF31" s="335">
        <v>1</v>
      </c>
      <c r="AG31" s="326">
        <v>1</v>
      </c>
      <c r="AH31" s="326">
        <v>0</v>
      </c>
      <c r="AI31" s="326">
        <v>0</v>
      </c>
      <c r="AJ31" s="326">
        <v>0</v>
      </c>
      <c r="AK31" s="336">
        <v>0</v>
      </c>
      <c r="AL31" s="315">
        <f t="shared" si="1"/>
        <v>0</v>
      </c>
      <c r="AM31" s="315">
        <v>0</v>
      </c>
      <c r="AN31" s="315">
        <v>0</v>
      </c>
      <c r="AO31" s="315"/>
      <c r="AP31" s="315"/>
      <c r="AQ31" s="316">
        <v>0</v>
      </c>
      <c r="AR31" s="315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ht="15.75" x14ac:dyDescent="0.2">
      <c r="A32" s="327" t="s">
        <v>211</v>
      </c>
      <c r="B32" s="32">
        <v>434.74</v>
      </c>
      <c r="C32" s="32">
        <f>405563.040893569/1000</f>
        <v>405.563040893569</v>
      </c>
      <c r="D32" s="32">
        <f>149271.073651993/1000</f>
        <v>149.27107365199302</v>
      </c>
      <c r="E32" s="32">
        <f>155241.916598073/1000</f>
        <v>155.241916598073</v>
      </c>
      <c r="F32" s="32">
        <f>161451.593261995/1000</f>
        <v>161.45159326199501</v>
      </c>
      <c r="G32" s="34">
        <v>167.90965699247502</v>
      </c>
      <c r="H32" s="311">
        <v>90.22</v>
      </c>
      <c r="I32" s="125">
        <v>95.545760000000001</v>
      </c>
      <c r="J32" s="125">
        <v>36.845819999999996</v>
      </c>
      <c r="K32" s="125">
        <v>38.327570000000001</v>
      </c>
      <c r="L32" s="125">
        <v>39.869879999999995</v>
      </c>
      <c r="M32" s="180">
        <v>41.475029999999997</v>
      </c>
      <c r="N32" s="329">
        <v>272.81</v>
      </c>
      <c r="O32" s="125">
        <v>272.31</v>
      </c>
      <c r="P32" s="124">
        <v>82.31</v>
      </c>
      <c r="Q32" s="124">
        <v>82.31</v>
      </c>
      <c r="R32" s="124">
        <v>82.31</v>
      </c>
      <c r="S32" s="330">
        <v>82.31</v>
      </c>
      <c r="T32" s="307">
        <v>44</v>
      </c>
      <c r="U32" s="310">
        <v>44</v>
      </c>
      <c r="V32" s="314">
        <v>0</v>
      </c>
      <c r="W32" s="309">
        <v>0</v>
      </c>
      <c r="X32" s="331">
        <f t="shared" si="0"/>
        <v>10</v>
      </c>
      <c r="Y32" s="305">
        <v>1</v>
      </c>
      <c r="Z32" s="306">
        <v>1</v>
      </c>
      <c r="AA32" s="306">
        <v>0</v>
      </c>
      <c r="AB32" s="308">
        <v>0</v>
      </c>
      <c r="AC32" s="308">
        <v>3</v>
      </c>
      <c r="AD32" s="308">
        <v>0</v>
      </c>
      <c r="AE32" s="310">
        <v>5</v>
      </c>
      <c r="AF32" s="335">
        <v>13</v>
      </c>
      <c r="AG32" s="326">
        <v>12</v>
      </c>
      <c r="AH32" s="326">
        <v>0</v>
      </c>
      <c r="AI32" s="326">
        <v>0</v>
      </c>
      <c r="AJ32" s="326">
        <v>2</v>
      </c>
      <c r="AK32" s="336">
        <v>2</v>
      </c>
      <c r="AL32" s="315">
        <f t="shared" si="1"/>
        <v>4</v>
      </c>
      <c r="AM32" s="315">
        <v>1</v>
      </c>
      <c r="AN32" s="315">
        <v>2</v>
      </c>
      <c r="AO32" s="315"/>
      <c r="AP32" s="315"/>
      <c r="AQ32" s="316">
        <v>1</v>
      </c>
      <c r="AR32" s="315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55" ht="15.75" x14ac:dyDescent="0.2">
      <c r="A33" s="327" t="s">
        <v>216</v>
      </c>
      <c r="B33" s="32">
        <v>11.18</v>
      </c>
      <c r="C33" s="32">
        <f>10474.7260520161/1000</f>
        <v>10.4747260520161</v>
      </c>
      <c r="D33" s="32">
        <f>10905.1534974559/1000</f>
        <v>10.905153497455901</v>
      </c>
      <c r="E33" s="32">
        <f>11341.3596373541/1000</f>
        <v>11.341359637354101</v>
      </c>
      <c r="F33" s="32">
        <f>11795.0140228483/1000</f>
        <v>11.795014022848299</v>
      </c>
      <c r="G33" s="34">
        <v>6.86012749179487</v>
      </c>
      <c r="H33" s="311">
        <v>44.78</v>
      </c>
      <c r="I33" s="125">
        <v>47.702199999999998</v>
      </c>
      <c r="J33" s="125">
        <v>50.545850000000002</v>
      </c>
      <c r="K33" s="125">
        <v>52.625730000000004</v>
      </c>
      <c r="L33" s="125">
        <v>54.796039999999998</v>
      </c>
      <c r="M33" s="180">
        <v>57.055210000000002</v>
      </c>
      <c r="N33" s="329">
        <v>123.80000000000001</v>
      </c>
      <c r="O33" s="125">
        <v>124.64999999999999</v>
      </c>
      <c r="P33" s="124">
        <v>123.75</v>
      </c>
      <c r="Q33" s="124">
        <v>123.75</v>
      </c>
      <c r="R33" s="124">
        <v>123.75</v>
      </c>
      <c r="S33" s="330">
        <v>123.75</v>
      </c>
      <c r="T33" s="307">
        <v>56</v>
      </c>
      <c r="U33" s="310">
        <v>56</v>
      </c>
      <c r="V33" s="314">
        <v>0</v>
      </c>
      <c r="W33" s="309">
        <v>0</v>
      </c>
      <c r="X33" s="331">
        <f t="shared" si="0"/>
        <v>8</v>
      </c>
      <c r="Y33" s="305">
        <v>1</v>
      </c>
      <c r="Z33" s="306">
        <v>0</v>
      </c>
      <c r="AA33" s="306">
        <v>1</v>
      </c>
      <c r="AB33" s="308">
        <v>0</v>
      </c>
      <c r="AC33" s="308">
        <v>1</v>
      </c>
      <c r="AD33" s="308">
        <v>1</v>
      </c>
      <c r="AE33" s="310">
        <v>4</v>
      </c>
      <c r="AF33" s="335">
        <v>21</v>
      </c>
      <c r="AG33" s="326">
        <v>19</v>
      </c>
      <c r="AH33" s="326">
        <v>0</v>
      </c>
      <c r="AI33" s="326">
        <v>0</v>
      </c>
      <c r="AJ33" s="326">
        <v>1</v>
      </c>
      <c r="AK33" s="336">
        <v>1</v>
      </c>
      <c r="AL33" s="315">
        <f t="shared" si="1"/>
        <v>4</v>
      </c>
      <c r="AM33" s="315">
        <v>1</v>
      </c>
      <c r="AN33" s="315">
        <v>1</v>
      </c>
      <c r="AO33" s="315">
        <v>1</v>
      </c>
      <c r="AP33" s="315"/>
      <c r="AQ33" s="316">
        <v>1</v>
      </c>
      <c r="AR33" s="315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5" ht="15.75" x14ac:dyDescent="0.2">
      <c r="A34" s="327" t="s">
        <v>214</v>
      </c>
      <c r="B34" s="32">
        <v>460.8</v>
      </c>
      <c r="C34" s="32">
        <f>460002.937778097/1000</f>
        <v>460.00293777809702</v>
      </c>
      <c r="D34" s="32">
        <f>479783.064102555/1000</f>
        <v>479.78306410255499</v>
      </c>
      <c r="E34" s="32">
        <f>498974.386666657/1000</f>
        <v>498.97438666665698</v>
      </c>
      <c r="F34" s="32">
        <f>518933.362133323/1000</f>
        <v>518.93336213332293</v>
      </c>
      <c r="G34" s="34">
        <v>539.69069661865603</v>
      </c>
      <c r="H34" s="311">
        <v>42.134</v>
      </c>
      <c r="I34" s="125">
        <v>44.69323</v>
      </c>
      <c r="J34" s="125">
        <v>46.625059999999998</v>
      </c>
      <c r="K34" s="125">
        <v>47.791400000000003</v>
      </c>
      <c r="L34" s="125">
        <v>49.729769999999995</v>
      </c>
      <c r="M34" s="180">
        <v>50.993769999999998</v>
      </c>
      <c r="N34" s="329">
        <v>183.99</v>
      </c>
      <c r="O34" s="125">
        <v>183.49</v>
      </c>
      <c r="P34" s="124">
        <v>184.49</v>
      </c>
      <c r="Q34" s="124">
        <v>184.49</v>
      </c>
      <c r="R34" s="124">
        <v>184.49</v>
      </c>
      <c r="S34" s="330">
        <v>184.49</v>
      </c>
      <c r="T34" s="307">
        <v>29</v>
      </c>
      <c r="U34" s="310">
        <v>25</v>
      </c>
      <c r="V34" s="314">
        <v>0</v>
      </c>
      <c r="W34" s="309">
        <v>0</v>
      </c>
      <c r="X34" s="331">
        <f t="shared" si="0"/>
        <v>5</v>
      </c>
      <c r="Y34" s="305">
        <v>0</v>
      </c>
      <c r="Z34" s="306">
        <v>0</v>
      </c>
      <c r="AA34" s="306">
        <v>1</v>
      </c>
      <c r="AB34" s="308">
        <v>0</v>
      </c>
      <c r="AC34" s="308">
        <v>1</v>
      </c>
      <c r="AD34" s="308">
        <v>0</v>
      </c>
      <c r="AE34" s="310">
        <v>3</v>
      </c>
      <c r="AF34" s="335">
        <v>7</v>
      </c>
      <c r="AG34" s="326">
        <v>9</v>
      </c>
      <c r="AH34" s="326">
        <v>0</v>
      </c>
      <c r="AI34" s="326">
        <v>0</v>
      </c>
      <c r="AJ34" s="326">
        <v>1</v>
      </c>
      <c r="AK34" s="336">
        <v>1</v>
      </c>
      <c r="AL34" s="315">
        <f t="shared" si="1"/>
        <v>3</v>
      </c>
      <c r="AM34" s="315">
        <v>1</v>
      </c>
      <c r="AN34" s="315">
        <v>1</v>
      </c>
      <c r="AO34" s="315"/>
      <c r="AP34" s="315"/>
      <c r="AQ34" s="316">
        <v>1</v>
      </c>
      <c r="AR34" s="315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55" ht="31.5" x14ac:dyDescent="0.2">
      <c r="A35" s="337" t="s">
        <v>240</v>
      </c>
      <c r="B35" s="35"/>
      <c r="C35" s="35"/>
      <c r="D35" s="35"/>
      <c r="E35" s="35"/>
      <c r="F35" s="35"/>
      <c r="G35" s="36"/>
      <c r="H35" s="313"/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13">
        <v>0</v>
      </c>
      <c r="O35" s="35">
        <v>0</v>
      </c>
      <c r="P35" s="35">
        <v>0</v>
      </c>
      <c r="Q35" s="35">
        <v>0</v>
      </c>
      <c r="R35" s="35">
        <v>0</v>
      </c>
      <c r="S35" s="36">
        <v>0</v>
      </c>
      <c r="T35" s="313"/>
      <c r="U35" s="36"/>
      <c r="V35" s="338">
        <v>0</v>
      </c>
      <c r="W35" s="339">
        <v>0</v>
      </c>
      <c r="X35" s="340">
        <f t="shared" si="0"/>
        <v>3</v>
      </c>
      <c r="Y35" s="313">
        <v>3</v>
      </c>
      <c r="Z35" s="35"/>
      <c r="AA35" s="35"/>
      <c r="AB35" s="35"/>
      <c r="AC35" s="35"/>
      <c r="AD35" s="35"/>
      <c r="AE35" s="36"/>
      <c r="AF35" s="313"/>
      <c r="AG35" s="35"/>
      <c r="AH35" s="35"/>
      <c r="AI35" s="35"/>
      <c r="AJ35" s="35"/>
      <c r="AK35" s="36"/>
      <c r="AL35" s="317">
        <f t="shared" si="1"/>
        <v>1</v>
      </c>
      <c r="AM35" s="317"/>
      <c r="AN35" s="317"/>
      <c r="AO35" s="317"/>
      <c r="AP35" s="317"/>
      <c r="AQ35" s="318"/>
      <c r="AR35" s="317">
        <v>1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s="189" customFormat="1" ht="31.5" x14ac:dyDescent="0.2">
      <c r="A36" s="328" t="s">
        <v>105</v>
      </c>
      <c r="B36" s="126">
        <f>SUM(B10:B34)</f>
        <v>13455.148999999999</v>
      </c>
      <c r="C36" s="126">
        <f>SUM(C10:C34)</f>
        <v>14378.050950460314</v>
      </c>
      <c r="D36" s="126">
        <f t="shared" ref="D36:G36" si="2">SUM(D10:D34)</f>
        <v>15112.636019925607</v>
      </c>
      <c r="E36" s="126">
        <f t="shared" si="2"/>
        <v>16168.857937125042</v>
      </c>
      <c r="F36" s="126">
        <f t="shared" si="2"/>
        <v>16780.772390016449</v>
      </c>
      <c r="G36" s="126">
        <f t="shared" si="2"/>
        <v>17301.015734756325</v>
      </c>
      <c r="H36" s="126">
        <f>SUM(H10:H34)</f>
        <v>7031.4709999999995</v>
      </c>
      <c r="I36" s="126">
        <f t="shared" ref="I36:M36" si="3">SUM(I10:I34)</f>
        <v>7522.7236999999986</v>
      </c>
      <c r="J36" s="126">
        <f t="shared" si="3"/>
        <v>7678.0491600000005</v>
      </c>
      <c r="K36" s="126">
        <f t="shared" si="3"/>
        <v>7981.1909899999991</v>
      </c>
      <c r="L36" s="126">
        <f t="shared" si="3"/>
        <v>8410.6653499999975</v>
      </c>
      <c r="M36" s="126">
        <f t="shared" si="3"/>
        <v>8718.4957099999974</v>
      </c>
      <c r="N36" s="126">
        <f>SUM(N10:N34)</f>
        <v>12133.715</v>
      </c>
      <c r="O36" s="126">
        <f>SUM(O10:O34)</f>
        <v>12175.199999999999</v>
      </c>
      <c r="P36" s="126">
        <f t="shared" ref="P36:S36" si="4">SUM(P10:P34)</f>
        <v>12103.000000000002</v>
      </c>
      <c r="Q36" s="126">
        <f t="shared" si="4"/>
        <v>12084.000000000002</v>
      </c>
      <c r="R36" s="126">
        <f t="shared" si="4"/>
        <v>12134.000000000002</v>
      </c>
      <c r="S36" s="126">
        <f t="shared" si="4"/>
        <v>12119.000000000002</v>
      </c>
      <c r="T36" s="126">
        <f>SUM(T10:T35)</f>
        <v>2425</v>
      </c>
      <c r="U36" s="126">
        <f>SUM(U10:U35)</f>
        <v>2226</v>
      </c>
      <c r="V36" s="128">
        <f>SUM(V10:V35)</f>
        <v>0</v>
      </c>
      <c r="W36" s="127">
        <v>0</v>
      </c>
      <c r="X36" s="319">
        <f>SUM(X10:X35)</f>
        <v>519</v>
      </c>
      <c r="Y36" s="319">
        <f t="shared" ref="Y36:AP36" si="5">SUM(Y10:Y35)</f>
        <v>41</v>
      </c>
      <c r="Z36" s="319">
        <f t="shared" si="5"/>
        <v>30</v>
      </c>
      <c r="AA36" s="319">
        <f t="shared" si="5"/>
        <v>56</v>
      </c>
      <c r="AB36" s="319">
        <f t="shared" si="5"/>
        <v>24</v>
      </c>
      <c r="AC36" s="319">
        <f t="shared" si="5"/>
        <v>90</v>
      </c>
      <c r="AD36" s="319">
        <f t="shared" si="5"/>
        <v>58</v>
      </c>
      <c r="AE36" s="319">
        <f t="shared" si="5"/>
        <v>220</v>
      </c>
      <c r="AF36" s="319">
        <f t="shared" si="5"/>
        <v>723</v>
      </c>
      <c r="AG36" s="319">
        <f t="shared" si="5"/>
        <v>748</v>
      </c>
      <c r="AH36" s="319">
        <f t="shared" si="5"/>
        <v>18</v>
      </c>
      <c r="AI36" s="319">
        <f t="shared" si="5"/>
        <v>18</v>
      </c>
      <c r="AJ36" s="319">
        <f t="shared" si="5"/>
        <v>187</v>
      </c>
      <c r="AK36" s="319">
        <f t="shared" si="5"/>
        <v>190</v>
      </c>
      <c r="AL36" s="319">
        <f t="shared" si="5"/>
        <v>108</v>
      </c>
      <c r="AM36" s="319">
        <f t="shared" si="5"/>
        <v>27</v>
      </c>
      <c r="AN36" s="319">
        <f t="shared" si="5"/>
        <v>41</v>
      </c>
      <c r="AO36" s="319">
        <f t="shared" si="5"/>
        <v>6</v>
      </c>
      <c r="AP36" s="319">
        <f t="shared" si="5"/>
        <v>2</v>
      </c>
      <c r="AQ36" s="320">
        <f>SUM(AQ10:AQ35)</f>
        <v>27</v>
      </c>
      <c r="AR36" s="319">
        <f>SUM(AR10:AR35)</f>
        <v>5</v>
      </c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</row>
    <row r="37" spans="1:5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ht="18.7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8" t="s">
        <v>244</v>
      </c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8.7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1"/>
      <c r="O39" s="181"/>
      <c r="P39" s="181"/>
      <c r="Q39" s="181"/>
      <c r="R39" s="181"/>
      <c r="S39" s="181"/>
      <c r="T39" s="181"/>
      <c r="U39" s="28"/>
      <c r="V39" s="28"/>
      <c r="W39" s="28"/>
      <c r="X39" s="38" t="s">
        <v>245</v>
      </c>
      <c r="Y39" s="28"/>
      <c r="Z39" s="28"/>
      <c r="AA39" s="28"/>
      <c r="AB39" s="28"/>
      <c r="AC39" s="28"/>
      <c r="AD39" s="28"/>
      <c r="AE39" s="28"/>
      <c r="AF39" s="181"/>
      <c r="AG39" s="181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8.75" x14ac:dyDescent="0.2">
      <c r="A40" s="28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28"/>
      <c r="P40" s="28"/>
      <c r="Q40" s="28"/>
      <c r="R40" s="28"/>
      <c r="S40" s="28"/>
      <c r="T40" s="28"/>
      <c r="U40" s="28"/>
      <c r="V40" s="28"/>
      <c r="W40" s="28"/>
      <c r="X40" s="38" t="s">
        <v>247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</row>
    <row r="41" spans="1:5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x14ac:dyDescent="0.2">
      <c r="A43" s="28"/>
      <c r="B43" s="181"/>
      <c r="C43" s="181"/>
      <c r="D43" s="181"/>
      <c r="E43" s="181"/>
      <c r="F43" s="181"/>
      <c r="G43" s="181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9" t="s">
        <v>246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</row>
    <row r="45" spans="1:5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</row>
    <row r="46" spans="1:5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</row>
    <row r="47" spans="1:5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</row>
    <row r="48" spans="1:5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</row>
    <row r="49" spans="1:5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</row>
    <row r="50" spans="1:5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</row>
    <row r="51" spans="1:5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</row>
    <row r="52" spans="1:5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</row>
    <row r="53" spans="1:5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</row>
    <row r="54" spans="1:5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</row>
    <row r="55" spans="1:5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5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5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55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</row>
    <row r="61" spans="1:55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5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55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</row>
    <row r="68" spans="1:55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</sheetData>
  <mergeCells count="54">
    <mergeCell ref="AQ5:AR5"/>
    <mergeCell ref="R4:S4"/>
    <mergeCell ref="S5:T5"/>
    <mergeCell ref="E1:G1"/>
    <mergeCell ref="E8:G8"/>
    <mergeCell ref="A2:W2"/>
    <mergeCell ref="A6:A9"/>
    <mergeCell ref="B8:B9"/>
    <mergeCell ref="AM6:AR6"/>
    <mergeCell ref="AR7:AR9"/>
    <mergeCell ref="C8:C9"/>
    <mergeCell ref="N6:S7"/>
    <mergeCell ref="Q8:S8"/>
    <mergeCell ref="N8:N9"/>
    <mergeCell ref="O8:O9"/>
    <mergeCell ref="P8:P9"/>
    <mergeCell ref="H8:H9"/>
    <mergeCell ref="I8:I9"/>
    <mergeCell ref="J8:J9"/>
    <mergeCell ref="B6:G7"/>
    <mergeCell ref="T6:U7"/>
    <mergeCell ref="H6:M7"/>
    <mergeCell ref="D8:D9"/>
    <mergeCell ref="K8:M8"/>
    <mergeCell ref="AF6:AK6"/>
    <mergeCell ref="AF8:AF9"/>
    <mergeCell ref="AH8:AH9"/>
    <mergeCell ref="AJ7:AK7"/>
    <mergeCell ref="AE7:AE9"/>
    <mergeCell ref="AG8:AG9"/>
    <mergeCell ref="AF7:AG7"/>
    <mergeCell ref="AJ8:AJ9"/>
    <mergeCell ref="Y6:AE6"/>
    <mergeCell ref="Y7:Y9"/>
    <mergeCell ref="AA7:AA9"/>
    <mergeCell ref="AB7:AB9"/>
    <mergeCell ref="AC7:AC9"/>
    <mergeCell ref="AD7:AD9"/>
    <mergeCell ref="AP7:AP9"/>
    <mergeCell ref="AQ7:AQ9"/>
    <mergeCell ref="U8:U9"/>
    <mergeCell ref="T8:T9"/>
    <mergeCell ref="AI8:AI9"/>
    <mergeCell ref="AH7:AI7"/>
    <mergeCell ref="AM7:AM9"/>
    <mergeCell ref="AN7:AN9"/>
    <mergeCell ref="AO7:AO9"/>
    <mergeCell ref="AK8:AK9"/>
    <mergeCell ref="Z7:Z9"/>
    <mergeCell ref="AL6:AL9"/>
    <mergeCell ref="X6:X9"/>
    <mergeCell ref="V6:W7"/>
    <mergeCell ref="V8:V9"/>
    <mergeCell ref="W8:W9"/>
  </mergeCells>
  <phoneticPr fontId="11" type="noConversion"/>
  <printOptions horizontalCentered="1"/>
  <pageMargins left="0" right="0.19685039370078741" top="0.19685039370078741" bottom="0" header="0" footer="0"/>
  <pageSetup paperSize="9" scale="49" orientation="landscape" r:id="rId1"/>
  <headerFooter alignWithMargins="0"/>
  <colBreaks count="1" manualBreakCount="1">
    <brk id="23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view="pageBreakPreview" zoomScale="60" zoomScaleNormal="100" workbookViewId="0">
      <selection activeCell="D45" sqref="D45"/>
    </sheetView>
  </sheetViews>
  <sheetFormatPr defaultRowHeight="12.75" x14ac:dyDescent="0.2"/>
  <cols>
    <col min="1" max="1" width="5.5703125" customWidth="1"/>
    <col min="2" max="2" width="25" customWidth="1"/>
    <col min="3" max="3" width="25.7109375" customWidth="1"/>
    <col min="4" max="4" width="25.5703125" customWidth="1"/>
    <col min="5" max="5" width="13.42578125" customWidth="1"/>
    <col min="6" max="6" width="11.140625" customWidth="1"/>
    <col min="7" max="7" width="14.7109375" customWidth="1"/>
    <col min="8" max="8" width="16.85546875" customWidth="1"/>
    <col min="9" max="9" width="16.5703125" customWidth="1"/>
    <col min="10" max="10" width="17.85546875" customWidth="1"/>
    <col min="11" max="11" width="14.7109375" customWidth="1"/>
    <col min="12" max="12" width="14.140625" customWidth="1"/>
    <col min="13" max="13" width="14.42578125" customWidth="1"/>
    <col min="14" max="14" width="24" customWidth="1"/>
  </cols>
  <sheetData>
    <row r="1" spans="1:16" ht="25.5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1" t="s">
        <v>288</v>
      </c>
      <c r="N1" s="401"/>
      <c r="O1" s="119"/>
      <c r="P1" s="119"/>
    </row>
    <row r="2" spans="1:16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ht="18.75" customHeight="1" x14ac:dyDescent="0.2">
      <c r="A3" s="399" t="s">
        <v>270</v>
      </c>
      <c r="B3" s="399"/>
      <c r="C3" s="399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6" ht="15.75" x14ac:dyDescent="0.2">
      <c r="A4" s="117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6" ht="43.5" customHeight="1" x14ac:dyDescent="0.2">
      <c r="A5" s="403" t="s">
        <v>72</v>
      </c>
      <c r="B5" s="403" t="s">
        <v>91</v>
      </c>
      <c r="C5" s="403" t="s">
        <v>86</v>
      </c>
      <c r="D5" s="403" t="s">
        <v>87</v>
      </c>
      <c r="E5" s="403" t="s">
        <v>94</v>
      </c>
      <c r="F5" s="403"/>
      <c r="G5" s="403" t="s">
        <v>88</v>
      </c>
      <c r="H5" s="403" t="s">
        <v>89</v>
      </c>
      <c r="I5" s="405" t="s">
        <v>276</v>
      </c>
      <c r="J5" s="406"/>
      <c r="K5" s="406"/>
      <c r="L5" s="407"/>
      <c r="M5" s="404" t="s">
        <v>95</v>
      </c>
      <c r="N5" s="404" t="s">
        <v>90</v>
      </c>
    </row>
    <row r="6" spans="1:16" ht="130.5" customHeight="1" x14ac:dyDescent="0.2">
      <c r="A6" s="404"/>
      <c r="B6" s="404"/>
      <c r="C6" s="404"/>
      <c r="D6" s="404"/>
      <c r="E6" s="404"/>
      <c r="F6" s="404"/>
      <c r="G6" s="404"/>
      <c r="H6" s="404"/>
      <c r="I6" s="120" t="s">
        <v>277</v>
      </c>
      <c r="J6" s="120" t="s">
        <v>278</v>
      </c>
      <c r="K6" s="120" t="s">
        <v>279</v>
      </c>
      <c r="L6" s="120" t="s">
        <v>92</v>
      </c>
      <c r="M6" s="408"/>
      <c r="N6" s="408"/>
    </row>
    <row r="7" spans="1:16" ht="12.75" customHeight="1" x14ac:dyDescent="0.2">
      <c r="A7" s="409">
        <v>1</v>
      </c>
      <c r="B7" s="412" t="s">
        <v>271</v>
      </c>
      <c r="C7" s="412" t="s">
        <v>272</v>
      </c>
      <c r="D7" s="412" t="s">
        <v>273</v>
      </c>
      <c r="E7" s="400" t="s">
        <v>274</v>
      </c>
      <c r="F7" s="400"/>
      <c r="G7" s="187">
        <v>16.2</v>
      </c>
      <c r="H7" s="187">
        <f>H8+H9+H10</f>
        <v>280.12900000000002</v>
      </c>
      <c r="I7" s="187">
        <f>I8+I9+I10+I11</f>
        <v>19.16</v>
      </c>
      <c r="J7" s="187">
        <f>J8+J9+J10+J11</f>
        <v>4.8600000000000003</v>
      </c>
      <c r="K7" s="187"/>
      <c r="L7" s="187"/>
      <c r="M7" s="187">
        <f>M8+M9+M10</f>
        <v>24.4</v>
      </c>
      <c r="N7" s="186"/>
    </row>
    <row r="8" spans="1:16" ht="15.75" x14ac:dyDescent="0.2">
      <c r="A8" s="410"/>
      <c r="B8" s="412"/>
      <c r="C8" s="412"/>
      <c r="D8" s="412"/>
      <c r="E8" s="400">
        <v>2021</v>
      </c>
      <c r="F8" s="400"/>
      <c r="G8" s="315">
        <v>16.2</v>
      </c>
      <c r="H8" s="187">
        <v>58.197000000000003</v>
      </c>
      <c r="I8" s="186">
        <v>2.7</v>
      </c>
      <c r="J8" s="186">
        <v>0.69</v>
      </c>
      <c r="K8" s="187"/>
      <c r="L8" s="187"/>
      <c r="M8" s="186">
        <v>4.4000000000000004</v>
      </c>
      <c r="N8" s="187">
        <v>0</v>
      </c>
    </row>
    <row r="9" spans="1:16" ht="15.75" x14ac:dyDescent="0.2">
      <c r="A9" s="410"/>
      <c r="B9" s="412"/>
      <c r="C9" s="412"/>
      <c r="D9" s="412"/>
      <c r="E9" s="400">
        <v>2022</v>
      </c>
      <c r="F9" s="400"/>
      <c r="G9" s="315"/>
      <c r="H9" s="187">
        <v>88.278999999999996</v>
      </c>
      <c r="I9" s="186">
        <v>3.9</v>
      </c>
      <c r="J9" s="186">
        <v>0.99</v>
      </c>
      <c r="K9" s="187"/>
      <c r="L9" s="187"/>
      <c r="M9" s="186">
        <v>7.5</v>
      </c>
      <c r="N9" s="187">
        <v>0</v>
      </c>
    </row>
    <row r="10" spans="1:16" ht="15.75" x14ac:dyDescent="0.2">
      <c r="A10" s="410"/>
      <c r="B10" s="412"/>
      <c r="C10" s="412"/>
      <c r="D10" s="412"/>
      <c r="E10" s="400">
        <v>2023</v>
      </c>
      <c r="F10" s="400"/>
      <c r="G10" s="315"/>
      <c r="H10" s="187">
        <v>133.65299999999999</v>
      </c>
      <c r="I10" s="186">
        <v>5.62</v>
      </c>
      <c r="J10" s="186">
        <v>1.4</v>
      </c>
      <c r="K10" s="187"/>
      <c r="L10" s="187"/>
      <c r="M10" s="186">
        <v>12.5</v>
      </c>
      <c r="N10" s="187">
        <v>0</v>
      </c>
    </row>
    <row r="11" spans="1:16" ht="52.5" customHeight="1" x14ac:dyDescent="0.2">
      <c r="A11" s="411"/>
      <c r="B11" s="412"/>
      <c r="C11" s="412"/>
      <c r="D11" s="412"/>
      <c r="E11" s="400">
        <v>2024</v>
      </c>
      <c r="F11" s="400">
        <v>2013</v>
      </c>
      <c r="G11" s="315"/>
      <c r="H11" s="187">
        <v>173.99100000000001</v>
      </c>
      <c r="I11" s="186">
        <v>6.94</v>
      </c>
      <c r="J11" s="186">
        <v>1.78</v>
      </c>
      <c r="K11" s="187"/>
      <c r="L11" s="187"/>
      <c r="M11" s="186"/>
      <c r="N11" s="187">
        <v>0</v>
      </c>
    </row>
    <row r="12" spans="1:16" ht="12.75" customHeight="1" x14ac:dyDescent="0.2">
      <c r="A12" s="409">
        <v>2</v>
      </c>
      <c r="B12" s="413" t="s">
        <v>275</v>
      </c>
      <c r="C12" s="414" t="s">
        <v>280</v>
      </c>
      <c r="D12" s="414" t="s">
        <v>281</v>
      </c>
      <c r="E12" s="400" t="s">
        <v>274</v>
      </c>
      <c r="F12" s="400"/>
      <c r="G12" s="187">
        <v>298</v>
      </c>
      <c r="H12" s="187">
        <f>H13+H14+H15+H16</f>
        <v>5419</v>
      </c>
      <c r="I12" s="341"/>
      <c r="J12" s="187"/>
      <c r="K12" s="187">
        <f>K13+K14+K15+K16</f>
        <v>284.89</v>
      </c>
      <c r="L12" s="187"/>
      <c r="M12" s="187">
        <f>M13+M14+M15+M16</f>
        <v>834</v>
      </c>
      <c r="N12" s="187">
        <v>44</v>
      </c>
    </row>
    <row r="13" spans="1:16" ht="15.75" x14ac:dyDescent="0.2">
      <c r="A13" s="410"/>
      <c r="B13" s="413"/>
      <c r="C13" s="415"/>
      <c r="D13" s="415"/>
      <c r="E13" s="400">
        <v>2021</v>
      </c>
      <c r="F13" s="400"/>
      <c r="G13" s="187">
        <v>50</v>
      </c>
      <c r="H13" s="187">
        <v>953</v>
      </c>
      <c r="I13" s="187"/>
      <c r="J13" s="187"/>
      <c r="K13" s="187">
        <v>19.2</v>
      </c>
      <c r="L13" s="187"/>
      <c r="M13" s="187">
        <v>175</v>
      </c>
      <c r="N13" s="187"/>
    </row>
    <row r="14" spans="1:16" ht="15.75" x14ac:dyDescent="0.2">
      <c r="A14" s="410"/>
      <c r="B14" s="413"/>
      <c r="C14" s="415"/>
      <c r="D14" s="415"/>
      <c r="E14" s="400">
        <v>2022</v>
      </c>
      <c r="F14" s="400"/>
      <c r="G14" s="187">
        <v>78</v>
      </c>
      <c r="H14" s="187">
        <v>1466</v>
      </c>
      <c r="I14" s="187"/>
      <c r="J14" s="187"/>
      <c r="K14" s="315">
        <v>87.5</v>
      </c>
      <c r="L14" s="187"/>
      <c r="M14" s="187">
        <v>203</v>
      </c>
      <c r="N14" s="187">
        <v>44</v>
      </c>
    </row>
    <row r="15" spans="1:16" ht="15.75" x14ac:dyDescent="0.2">
      <c r="A15" s="410"/>
      <c r="B15" s="413"/>
      <c r="C15" s="415"/>
      <c r="D15" s="415"/>
      <c r="E15" s="400">
        <v>2023</v>
      </c>
      <c r="F15" s="400"/>
      <c r="G15" s="187">
        <v>80</v>
      </c>
      <c r="H15" s="187">
        <v>1500</v>
      </c>
      <c r="I15" s="187"/>
      <c r="J15" s="187"/>
      <c r="K15" s="315">
        <v>88.59</v>
      </c>
      <c r="L15" s="187"/>
      <c r="M15" s="187">
        <v>221</v>
      </c>
      <c r="N15" s="187"/>
    </row>
    <row r="16" spans="1:16" ht="15.75" x14ac:dyDescent="0.2">
      <c r="A16" s="411"/>
      <c r="B16" s="413" t="s">
        <v>93</v>
      </c>
      <c r="C16" s="416"/>
      <c r="D16" s="416"/>
      <c r="E16" s="400">
        <v>2024</v>
      </c>
      <c r="F16" s="400">
        <v>2013</v>
      </c>
      <c r="G16" s="187">
        <v>90</v>
      </c>
      <c r="H16" s="187">
        <v>1500</v>
      </c>
      <c r="I16" s="187"/>
      <c r="J16" s="187"/>
      <c r="K16" s="315">
        <v>89.6</v>
      </c>
      <c r="L16" s="187"/>
      <c r="M16" s="187">
        <v>235</v>
      </c>
      <c r="N16" s="187"/>
    </row>
  </sheetData>
  <mergeCells count="30">
    <mergeCell ref="E13:F13"/>
    <mergeCell ref="E14:F14"/>
    <mergeCell ref="A7:A11"/>
    <mergeCell ref="B7:B11"/>
    <mergeCell ref="C7:C11"/>
    <mergeCell ref="D7:D11"/>
    <mergeCell ref="E9:F9"/>
    <mergeCell ref="E10:F10"/>
    <mergeCell ref="E11:F11"/>
    <mergeCell ref="A12:A16"/>
    <mergeCell ref="B12:B16"/>
    <mergeCell ref="C12:C16"/>
    <mergeCell ref="D12:D16"/>
    <mergeCell ref="E12:F12"/>
    <mergeCell ref="E15:F15"/>
    <mergeCell ref="E16:F16"/>
    <mergeCell ref="E7:F7"/>
    <mergeCell ref="E8:F8"/>
    <mergeCell ref="M1:N1"/>
    <mergeCell ref="A3:N3"/>
    <mergeCell ref="A5:A6"/>
    <mergeCell ref="B5:B6"/>
    <mergeCell ref="C5:C6"/>
    <mergeCell ref="D5:D6"/>
    <mergeCell ref="I5:L5"/>
    <mergeCell ref="M5:M6"/>
    <mergeCell ref="N5:N6"/>
    <mergeCell ref="E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Прогноз 2020</vt:lpstr>
      <vt:lpstr>Приложение 2</vt:lpstr>
      <vt:lpstr>Прил 3 (расчет ИФО) (2)</vt:lpstr>
      <vt:lpstr>Прил 5 Прогноз по поселениям</vt:lpstr>
      <vt:lpstr>Инвестиционные 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2020'!Заголовки_для_печати</vt:lpstr>
      <vt:lpstr>'Прил 3 (расчет ИФО) (2)'!Область_печати</vt:lpstr>
      <vt:lpstr>'Прил 5 Прогноз по поселениям'!Область_печати</vt:lpstr>
      <vt:lpstr>'Приложение 2'!Область_печати</vt:lpstr>
      <vt:lpstr>'Прогноз 2020'!Область_печати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2021-07-02T08:06:19Z</cp:lastPrinted>
  <dcterms:created xsi:type="dcterms:W3CDTF">2006-03-06T08:26:24Z</dcterms:created>
  <dcterms:modified xsi:type="dcterms:W3CDTF">2021-07-05T03:41:49Z</dcterms:modified>
</cp:coreProperties>
</file>